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FK" sheetId="1" state="visible" r:id="rId2"/>
    <sheet name="S 1000" sheetId="2" state="visible" r:id="rId3"/>
    <sheet name="Беспружинные" sheetId="3" state="visible" r:id="rId4"/>
    <sheet name="Аксессуары" sheetId="4" state="visible" r:id="rId5"/>
    <sheet name="Спецпредложение" sheetId="5" state="visible" r:id="rId6"/>
    <sheet name="Экономик" sheetId="6" state="visible" r:id="rId7"/>
    <sheet name="Высокие матрасы 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<sst xmlns="http://schemas.openxmlformats.org/spreadsheetml/2006/main" count="364" uniqueCount="197">
  <si>
    <t xml:space="preserve">Введите скидку</t>
  </si>
  <si>
    <t xml:space="preserve">(При значении 0% = рекомендованная розничная цена)</t>
  </si>
  <si>
    <t xml:space="preserve">Наименование </t>
  </si>
  <si>
    <t xml:space="preserve">Матрас Astoria Н20</t>
  </si>
  <si>
    <t xml:space="preserve">Матрас Edison Н21</t>
  </si>
  <si>
    <t xml:space="preserve">Матрас Bristol Н22</t>
  </si>
  <si>
    <t xml:space="preserve">Матрас Barcelo Н21</t>
  </si>
  <si>
    <t xml:space="preserve">Матрас Leonardo Н22</t>
  </si>
  <si>
    <t xml:space="preserve">Матрас Anderson Н21</t>
  </si>
  <si>
    <t xml:space="preserve">Матрас Everton Н20</t>
  </si>
  <si>
    <t xml:space="preserve">Матрас Picasso Н22</t>
  </si>
  <si>
    <t xml:space="preserve">Чехол:</t>
  </si>
  <si>
    <t xml:space="preserve">Трикотаж простеганный на 0,5 Biofoam +200 гр </t>
  </si>
  <si>
    <t xml:space="preserve">Наполнение 1 сторона</t>
  </si>
  <si>
    <t xml:space="preserve">Biofoam 2см</t>
  </si>
  <si>
    <t xml:space="preserve">Biofoam 2см 
Кокос   1см</t>
  </si>
  <si>
    <t xml:space="preserve">Латекс 2 см Кокос 1 см</t>
  </si>
  <si>
    <t xml:space="preserve">Латекс 2 см, кокос   1 см</t>
  </si>
  <si>
    <t xml:space="preserve">Biofoam 2 см, кокос 1 см</t>
  </si>
  <si>
    <t xml:space="preserve">Кокос 2 см</t>
  </si>
  <si>
    <t xml:space="preserve">Airform 3 см</t>
  </si>
  <si>
    <t xml:space="preserve">Наполнение 2 сторона</t>
  </si>
  <si>
    <t xml:space="preserve">Латекс 2 см, кокос   1см</t>
  </si>
  <si>
    <t xml:space="preserve">Общие характеристики:</t>
  </si>
  <si>
    <t xml:space="preserve">Независимый армированный пружинный блок Smart Spring,  256 пружин на 1кв.м / 500 пружин на спальное место</t>
  </si>
  <si>
    <t xml:space="preserve">Нагрузка:</t>
  </si>
  <si>
    <t xml:space="preserve">120кг</t>
  </si>
  <si>
    <t xml:space="preserve">130кг</t>
  </si>
  <si>
    <t xml:space="preserve">140кг</t>
  </si>
  <si>
    <t xml:space="preserve">150кг</t>
  </si>
  <si>
    <t xml:space="preserve">800х1900/1950/2000</t>
  </si>
  <si>
    <t xml:space="preserve">900х1900/1950/2000</t>
  </si>
  <si>
    <t xml:space="preserve">1200х1900/1950/2000</t>
  </si>
  <si>
    <t xml:space="preserve">1400х1900/1950/2000</t>
  </si>
  <si>
    <t xml:space="preserve">1600х1900/1950/2000</t>
  </si>
  <si>
    <t xml:space="preserve">1800х1900/1950/2000</t>
  </si>
  <si>
    <t xml:space="preserve">Расчет нестандарта:</t>
  </si>
  <si>
    <r>
      <rPr>
        <sz val="11"/>
        <color rgb="FF000000"/>
        <rFont val="Calibri"/>
        <family val="2"/>
        <charset val="204"/>
      </rPr>
      <t xml:space="preserve">1) Расчет нестандартной продукции в пределах ширины до 180 см и длины до 200 см  рассчитывается исходя из ближайшего большего стандартного размера +</t>
    </r>
    <r>
      <rPr>
        <b val="true"/>
        <sz val="11"/>
        <color rgb="FF000000"/>
        <rFont val="Calibri"/>
        <family val="2"/>
        <charset val="204"/>
      </rPr>
      <t xml:space="preserve">5%.</t>
    </r>
  </si>
  <si>
    <r>
      <rPr>
        <sz val="11"/>
        <color rgb="FF000000"/>
        <rFont val="Calibri"/>
        <family val="2"/>
        <charset val="204"/>
      </rPr>
      <t xml:space="preserve">2) Расчет нестандартной продукции, превышаюшей ширину 180см и/или длину 200см, производится по квадратам от ближайшего меньшего стандарта</t>
    </r>
    <r>
      <rPr>
        <b val="true"/>
        <sz val="11"/>
        <color rgb="FF000000"/>
        <rFont val="Calibri"/>
        <family val="2"/>
        <charset val="204"/>
      </rPr>
      <t xml:space="preserve">по длине до 220 +10%, 220 и более +20%:</t>
    </r>
  </si>
  <si>
    <r>
      <rPr>
        <sz val="11"/>
        <color rgb="FF000000"/>
        <rFont val="Calibri"/>
        <family val="2"/>
        <charset val="204"/>
      </rPr>
      <t xml:space="preserve">Пример: Матрас Edison 185x210. Расчет: 28686 (цена180х200)/1,8/2*1,85*2,1+</t>
    </r>
    <r>
      <rPr>
        <b val="true"/>
        <sz val="11"/>
        <color rgb="FF000000"/>
        <rFont val="Calibri"/>
        <family val="2"/>
        <charset val="204"/>
      </rPr>
      <t xml:space="preserve">10%</t>
    </r>
    <r>
      <rPr>
        <sz val="11"/>
        <color rgb="FF000000"/>
        <rFont val="Calibri"/>
        <family val="2"/>
        <charset val="204"/>
      </rPr>
      <t xml:space="preserve">= 34055</t>
    </r>
  </si>
  <si>
    <r>
      <rPr>
        <sz val="11"/>
        <color rgb="FF000000"/>
        <rFont val="Calibri"/>
        <family val="2"/>
        <charset val="204"/>
      </rPr>
      <t xml:space="preserve">Пример: Матрас Edison 140x220. Расчет: 22657 (цена140х200)/1,4/2*1,4*2,2+</t>
    </r>
    <r>
      <rPr>
        <b val="true"/>
        <sz val="11"/>
        <color rgb="FF000000"/>
        <rFont val="Calibri"/>
        <family val="2"/>
        <charset val="204"/>
      </rPr>
      <t xml:space="preserve">20%</t>
    </r>
    <r>
      <rPr>
        <sz val="11"/>
        <color rgb="FF000000"/>
        <rFont val="Calibri"/>
        <family val="2"/>
        <charset val="204"/>
      </rPr>
      <t xml:space="preserve">= 29910</t>
    </r>
  </si>
  <si>
    <t xml:space="preserve">3) Если размер нестандартного матраса не целое число, то при расчете необходимо округлять (относится к пункту 2)</t>
  </si>
  <si>
    <r>
      <rPr>
        <sz val="11"/>
        <color rgb="FF000000"/>
        <rFont val="Calibri"/>
        <family val="2"/>
        <charset val="204"/>
      </rPr>
      <t xml:space="preserve">Пример1: Матрас Edison 187x217. Расчет: 28686 (цена180х200)/1,8/2*1,9*2,2+</t>
    </r>
    <r>
      <rPr>
        <b val="true"/>
        <sz val="11"/>
        <color rgb="FF000000"/>
        <rFont val="Calibri"/>
        <family val="2"/>
        <charset val="204"/>
      </rPr>
      <t xml:space="preserve">20%</t>
    </r>
    <r>
      <rPr>
        <sz val="11"/>
        <color rgb="FF000000"/>
        <rFont val="Calibri"/>
        <family val="2"/>
        <charset val="204"/>
      </rPr>
      <t xml:space="preserve">= 39970</t>
    </r>
  </si>
  <si>
    <t xml:space="preserve">4) Полученная стоимость нестандарта округляется кратное 5 в большую сторону</t>
  </si>
  <si>
    <t xml:space="preserve">Серия </t>
  </si>
  <si>
    <t xml:space="preserve">Extra Active</t>
  </si>
  <si>
    <t xml:space="preserve">Матрас Alpaka     h21</t>
  </si>
  <si>
    <t xml:space="preserve">Матрас Marco      h23</t>
  </si>
  <si>
    <t xml:space="preserve">Матрас Panoramica    h22</t>
  </si>
  <si>
    <t xml:space="preserve">Матрас Infinity    h23</t>
  </si>
  <si>
    <t xml:space="preserve">Матрас Formaplus h23</t>
  </si>
  <si>
    <t xml:space="preserve">Матрас Premium h23</t>
  </si>
  <si>
    <t xml:space="preserve">Матрас ActiveElastic h21</t>
  </si>
  <si>
    <t xml:space="preserve">Матрас Exclusive h25</t>
  </si>
  <si>
    <t xml:space="preserve">Трикотаж простеганный на 1см biofoam + 300гр</t>
  </si>
  <si>
    <t xml:space="preserve">Biofoam 2 см</t>
  </si>
  <si>
    <t xml:space="preserve"> Biofoam 2 см, кокос 1 см</t>
  </si>
  <si>
    <t xml:space="preserve">Латекс 2 см, кокос </t>
  </si>
  <si>
    <t xml:space="preserve">Military foam 3 см  </t>
  </si>
  <si>
    <t xml:space="preserve">Multielastic 2 см, Military foam 2 см</t>
  </si>
  <si>
    <t xml:space="preserve">Airfoam 2 см </t>
  </si>
  <si>
    <t xml:space="preserve">Латекс 2 см,     Airfoam 2 см </t>
  </si>
  <si>
    <t xml:space="preserve">Military foam 2 см</t>
  </si>
  <si>
    <t xml:space="preserve"> Airfoam 2 см Multielastic 2 см</t>
  </si>
  <si>
    <t xml:space="preserve">Независимый армированный пружинный блок Smart Spring Multi,  512 пружин на 1кв.м / 1000 пружин на спальное место </t>
  </si>
  <si>
    <t xml:space="preserve">160кг</t>
  </si>
  <si>
    <t xml:space="preserve">Беспружинные Матрасы</t>
  </si>
  <si>
    <t xml:space="preserve">Серия     Start</t>
  </si>
  <si>
    <t xml:space="preserve">Серия     Extra Active</t>
  </si>
  <si>
    <t xml:space="preserve">Матрас         Mini Foam H12</t>
  </si>
  <si>
    <t xml:space="preserve">Матрас    Original     H15</t>
  </si>
  <si>
    <t xml:space="preserve">       Матрас                  Real            H20</t>
  </si>
  <si>
    <t xml:space="preserve">Матрас       Estrella     H20</t>
  </si>
  <si>
    <t xml:space="preserve"> Матрас      Valencia    H20</t>
  </si>
  <si>
    <t xml:space="preserve">Матрас     Barcelona       H20 </t>
  </si>
  <si>
    <t xml:space="preserve">      Матрас           Person      H20</t>
  </si>
  <si>
    <t xml:space="preserve">Матрас Catalonia  H20</t>
  </si>
  <si>
    <t xml:space="preserve">Матрас      Ergolastic H19</t>
  </si>
  <si>
    <t xml:space="preserve">Матрас Viscoelastica H21</t>
  </si>
  <si>
    <t xml:space="preserve">  Матрас      Viscogel   H23</t>
  </si>
  <si>
    <t xml:space="preserve">Матрас    RelaxDuo H25</t>
  </si>
  <si>
    <t xml:space="preserve">Матрас Sensoflex  H23</t>
  </si>
  <si>
    <t xml:space="preserve">Наполнение:</t>
  </si>
  <si>
    <t xml:space="preserve">Biofoam 10см </t>
  </si>
  <si>
    <t xml:space="preserve">Biofoam 14см </t>
  </si>
  <si>
    <t xml:space="preserve">Biofoam 18см</t>
  </si>
  <si>
    <t xml:space="preserve">Biofoam14 см                    Multielastic 4см </t>
  </si>
  <si>
    <t xml:space="preserve">Multielastic 2см Biofoam 14см                    Multielastic 2см</t>
  </si>
  <si>
    <t xml:space="preserve">FoamActive 4см    Biofoam 14см                    </t>
  </si>
  <si>
    <t xml:space="preserve">FoamActive 4см Biofoam 10см                    Multielastic 4см</t>
  </si>
  <si>
    <t xml:space="preserve">FoamActive 4см Biofoam 10см                    FoamActive 4см</t>
  </si>
  <si>
    <t xml:space="preserve">FoamActive 16см </t>
  </si>
  <si>
    <t xml:space="preserve">FoamActive 16см                  Multielastic   2см </t>
  </si>
  <si>
    <t xml:space="preserve">FoamActive 16см                  Multielastic    4см </t>
  </si>
  <si>
    <t xml:space="preserve">Militaryfoam 3см FoamActive 16см                  Lilacfoam 3см </t>
  </si>
  <si>
    <t xml:space="preserve">Multielastic 2см FoamActive 16см                    Multielastic 2см</t>
  </si>
  <si>
    <t xml:space="preserve">Нагрузка: </t>
  </si>
  <si>
    <t xml:space="preserve">80кг</t>
  </si>
  <si>
    <t xml:space="preserve">Беспружинные матрасы</t>
  </si>
  <si>
    <t xml:space="preserve">Аксессуары для сна Sleepinvest</t>
  </si>
  <si>
    <t xml:space="preserve">8-800-444-04-90</t>
  </si>
  <si>
    <t xml:space="preserve">Наименование:</t>
  </si>
  <si>
    <t xml:space="preserve">Наматрасник Capri </t>
  </si>
  <si>
    <t xml:space="preserve">Наматрасник Modena</t>
  </si>
  <si>
    <t xml:space="preserve">Топпер Lux Top H-4см</t>
  </si>
  <si>
    <t xml:space="preserve">Топпер       Латекс h3</t>
  </si>
  <si>
    <t xml:space="preserve">Топпер Multielastic h3</t>
  </si>
  <si>
    <t xml:space="preserve">Топпер Multielastic Lux h5</t>
  </si>
  <si>
    <t xml:space="preserve">Топпер FoamActive h5</t>
  </si>
  <si>
    <t xml:space="preserve">Топпер Militaryfoam h3</t>
  </si>
  <si>
    <t xml:space="preserve">Топпер Кокос h2</t>
  </si>
  <si>
    <t xml:space="preserve">Топпер            Кокос Люкс h3</t>
  </si>
  <si>
    <t xml:space="preserve">Топпер            Greenfoam h3</t>
  </si>
  <si>
    <t xml:space="preserve">Топпер            Lilacfoam h3</t>
  </si>
  <si>
    <t xml:space="preserve">Водонепроницаемый с бортиками и резинкой</t>
  </si>
  <si>
    <t xml:space="preserve">Водонепроницаемый чехол с резинками по углам</t>
  </si>
  <si>
    <t xml:space="preserve">Трикотаж</t>
  </si>
  <si>
    <t xml:space="preserve">Biofoam 3 см</t>
  </si>
  <si>
    <t xml:space="preserve">Латекс 2см</t>
  </si>
  <si>
    <t xml:space="preserve"> Multielastic 2см</t>
  </si>
  <si>
    <t xml:space="preserve"> Multielastic 4см</t>
  </si>
  <si>
    <t xml:space="preserve"> FoamActive 4см</t>
  </si>
  <si>
    <t xml:space="preserve">Militaryfoam 2см</t>
  </si>
  <si>
    <t xml:space="preserve">Кокос 1см</t>
  </si>
  <si>
    <t xml:space="preserve">Кокос 2см</t>
  </si>
  <si>
    <t xml:space="preserve">Greenfoam 2см</t>
  </si>
  <si>
    <t xml:space="preserve">Lilacfoam 2см</t>
  </si>
  <si>
    <t xml:space="preserve">Спец- Предложение</t>
  </si>
  <si>
    <t xml:space="preserve">Наименование</t>
  </si>
  <si>
    <t xml:space="preserve">Матрас Light Foam H17</t>
  </si>
  <si>
    <t xml:space="preserve">Жаккард</t>
  </si>
  <si>
    <t xml:space="preserve">Biofoam 16 см</t>
  </si>
  <si>
    <t xml:space="preserve">90 кг</t>
  </si>
  <si>
    <t xml:space="preserve">Беспружинный матрас</t>
  </si>
  <si>
    <t xml:space="preserve">800х1800/1850/1900/1950/2000</t>
  </si>
  <si>
    <t xml:space="preserve">900х1800/1850/1900/1950/2000</t>
  </si>
  <si>
    <t xml:space="preserve">Наматрасник  PURITY </t>
  </si>
  <si>
    <t xml:space="preserve">(Водонепроницаемый,  с бортиками и резинкой по всей длине изделия</t>
  </si>
  <si>
    <t xml:space="preserve">800х1900/2000</t>
  </si>
  <si>
    <t xml:space="preserve">900х2000</t>
  </si>
  <si>
    <t xml:space="preserve">1200х2000</t>
  </si>
  <si>
    <t xml:space="preserve">1400х2000</t>
  </si>
  <si>
    <t xml:space="preserve">1600х2000</t>
  </si>
  <si>
    <t xml:space="preserve">1800х2000</t>
  </si>
  <si>
    <t xml:space="preserve">!!! Важное примечание</t>
  </si>
  <si>
    <t xml:space="preserve">Наматрасник  PURITY поставляется исключительно в размерах указанных в данном прайс листе</t>
  </si>
  <si>
    <t xml:space="preserve">Матрас Eco-Light </t>
  </si>
  <si>
    <t xml:space="preserve">Biofoam 8 см</t>
  </si>
  <si>
    <t xml:space="preserve">80 кг</t>
  </si>
  <si>
    <t xml:space="preserve">Матрас Legacy </t>
  </si>
  <si>
    <t xml:space="preserve">Трикотаж 2-я категория</t>
  </si>
  <si>
    <t xml:space="preserve">1см кокоса с каждой стороны</t>
  </si>
  <si>
    <t xml:space="preserve">Пружинный блок </t>
  </si>
  <si>
    <t xml:space="preserve"> Smartspring </t>
  </si>
  <si>
    <t xml:space="preserve">100кг</t>
  </si>
  <si>
    <t xml:space="preserve">Экономик </t>
  </si>
  <si>
    <t xml:space="preserve">Матрас Доступный H18</t>
  </si>
  <si>
    <t xml:space="preserve">Матрас Оптимальный H19</t>
  </si>
  <si>
    <t xml:space="preserve">Матрас Баланс H20</t>
  </si>
  <si>
    <t xml:space="preserve">Жаккард стеганный </t>
  </si>
  <si>
    <t xml:space="preserve">          Пенополиуретан  2см   с каждой стороны</t>
  </si>
  <si>
    <t xml:space="preserve">    Пенополиуретан 2см ,                                  кокос 1см с одной стороны /    Пенополиуретан  2см с другой стороны</t>
  </si>
  <si>
    <t xml:space="preserve">   Пенополиуретан 2см, кокос  1см   с каждой стороны</t>
  </si>
  <si>
    <t xml:space="preserve"> Независимый (усиленный)</t>
  </si>
  <si>
    <t xml:space="preserve">Матрас Aero h17</t>
  </si>
  <si>
    <t xml:space="preserve">Матрас Classic h19</t>
  </si>
  <si>
    <t xml:space="preserve">Матрас Reding h17</t>
  </si>
  <si>
    <t xml:space="preserve">Матрас Interist h19</t>
  </si>
  <si>
    <t xml:space="preserve">Трикотаж </t>
  </si>
  <si>
    <t xml:space="preserve">Biofoam с каждой стороны</t>
  </si>
  <si>
    <t xml:space="preserve">Biofoam, кокос   с каждой стороны</t>
  </si>
  <si>
    <t xml:space="preserve">Biofoam, кокос            с каждой стороны</t>
  </si>
  <si>
    <t xml:space="preserve">Пружинный блок Smart Spring</t>
  </si>
  <si>
    <t xml:space="preserve">Пружинный блок Smart Spring Multy</t>
  </si>
  <si>
    <t xml:space="preserve">90кг</t>
  </si>
  <si>
    <t xml:space="preserve">Edison Big (Н32)</t>
  </si>
  <si>
    <t xml:space="preserve">Barselo Big (Н32)</t>
  </si>
  <si>
    <t xml:space="preserve">Picasso Big (Н32)</t>
  </si>
  <si>
    <t xml:space="preserve">Formaplus Big (Н32)</t>
  </si>
  <si>
    <t xml:space="preserve">Estrella Big (Н32)</t>
  </si>
  <si>
    <t xml:space="preserve">Barcelona Big (Н32)</t>
  </si>
  <si>
    <t xml:space="preserve">Трикотаж простеганный на 1 см.  Biofoam +300 гр. </t>
  </si>
  <si>
    <t xml:space="preserve">Biofoam h 4  см    
Кокос 1 см              
Пруж. блок  TFK 256       Biofoam h10 см</t>
  </si>
  <si>
    <t xml:space="preserve">Латекс h 2  см         
Кокос 1 см            
Biofoam h 2 см            
Пруж. блок  TFK 256       
Biofoam h10 см</t>
  </si>
  <si>
    <t xml:space="preserve">Airfoam  h 3 см.    
Biofoam h 2 см               
Пруж. блок  TFK 256        
Biofoam h 10 см</t>
  </si>
  <si>
    <t xml:space="preserve">Militaryfoam  h 3 см. Biofoam h 2 см       Пруж. блок  S1000        Biofoam h10 см</t>
  </si>
  <si>
    <t xml:space="preserve">Multielastic  h 2 см.               Biofoam h 28</t>
  </si>
  <si>
    <t xml:space="preserve">Foamactive h 16          Biofoam h 14</t>
  </si>
  <si>
    <t xml:space="preserve">Пружинные модели</t>
  </si>
  <si>
    <t xml:space="preserve">Беспружинные модели</t>
  </si>
  <si>
    <t xml:space="preserve">180 кг</t>
  </si>
  <si>
    <t xml:space="preserve">1600 х 2000</t>
  </si>
  <si>
    <t xml:space="preserve">1800 х 2000</t>
  </si>
  <si>
    <t xml:space="preserve">2000 х 2000</t>
  </si>
  <si>
    <t xml:space="preserve">1950 х 2050</t>
  </si>
  <si>
    <t xml:space="preserve">1950 х 2100</t>
  </si>
  <si>
    <t xml:space="preserve">1950 х 2150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</si>
</sst>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[$-419]dd/mm/yyyy"/>
    <numFmt numFmtId="167" formatCode="#,##0"/>
    <numFmt numFmtId="168" formatCode="0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FFFFFE"/>
      <name val="Calibri"/>
      <family val="2"/>
      <charset val="204"/>
    </font>
    <font>
      <sz val="11"/>
      <color rgb="FFFFFFFE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Calibri"/>
      <family val="2"/>
      <charset val="1"/>
    </font>
    <font>
      <b val="true"/>
      <sz val="10"/>
      <name val="Calibri"/>
      <family val="2"/>
      <charset val="204"/>
    </font>
    <font>
      <b val="true"/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204"/>
    </font>
    <font>
      <b val="true"/>
      <sz val="10"/>
      <color rgb="FFFF0000"/>
      <name val="Calibri"/>
      <family val="2"/>
      <charset val="1"/>
    </font>
    <font>
      <b val="true"/>
      <sz val="10"/>
      <color rgb="FFFF0000"/>
      <name val="Calibri"/>
      <family val="2"/>
      <charset val="204"/>
    </font>
    <font>
      <sz val="11"/>
      <color rgb="FFFFFFFF"/>
      <name val="Calibri"/>
      <family val="2"/>
      <charset val="204"/>
    </font>
    <font>
      <b val="true"/>
      <sz val="10.5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2"/>
      <color rgb="FFFF3333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E"/>
        <bgColor rgb="FFFFFFFF"/>
      </patternFill>
    </fill>
    <fill>
      <patternFill patternType="solid">
        <fgColor rgb="FF40E0D0"/>
        <bgColor rgb="FF00CCFF"/>
      </patternFill>
    </fill>
    <fill>
      <patternFill patternType="solid">
        <fgColor rgb="FF007C7C"/>
        <bgColor rgb="FF008080"/>
      </patternFill>
    </fill>
    <fill>
      <patternFill patternType="solid">
        <fgColor rgb="FFDDDDDD"/>
        <bgColor rgb="FFCCFFCC"/>
      </patternFill>
    </fill>
    <fill>
      <patternFill patternType="solid">
        <fgColor rgb="FFFFFFCC"/>
        <bgColor rgb="FFFFFFFE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4 2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C7C"/>
      <rgbColor rgb="FFC0C0C0"/>
      <rgbColor rgb="FF808080"/>
      <rgbColor rgb="FF9999FF"/>
      <rgbColor rgb="FF993366"/>
      <rgbColor rgb="FFFFFFCC"/>
      <rgbColor rgb="FFFFFFFE"/>
      <rgbColor rgb="FF660066"/>
      <rgbColor rgb="FFFF8080"/>
      <rgbColor rgb="FF007FFE"/>
      <rgbColor rgb="FFDDDDDD"/>
      <rgbColor rgb="FF000080"/>
      <rgbColor rgb="FFFE007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0E0D0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FF"/>
    <pageSetUpPr fitToPage="tru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7.31"/>
    <col collapsed="false" customWidth="true" hidden="false" outlineLevel="0" max="2" min="2" style="0" width="14.86"/>
    <col collapsed="false" customWidth="true" hidden="false" outlineLevel="0" max="3" min="3" style="0" width="15.15"/>
    <col collapsed="false" customWidth="true" hidden="false" outlineLevel="0" max="9" min="4" style="0" width="14.86"/>
    <col collapsed="false" customWidth="true" hidden="false" outlineLevel="0" max="256" min="10" style="0" width="10.85"/>
  </cols>
  <sheetData>
    <row r="1" s="2" customFormat="true" ht="13.8" hidden="false" customHeight="false" outlineLevel="0" collapsed="false">
      <c r="A1" s="1"/>
      <c r="C1" s="3" t="s">
        <v>0</v>
      </c>
      <c r="D1" s="4" t="n">
        <v>0.4</v>
      </c>
      <c r="E1" s="2" t="s">
        <v>1</v>
      </c>
      <c r="G1" s="5"/>
      <c r="H1" s="5"/>
      <c r="I1" s="6"/>
    </row>
    <row r="2" customFormat="false" ht="36.6" hidden="false" customHeight="true" outlineLevel="0" collapsed="false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9"/>
    </row>
    <row r="3" customFormat="false" ht="16.5" hidden="false" customHeight="true" outlineLevel="0" collapsed="false">
      <c r="A3" s="7" t="s">
        <v>11</v>
      </c>
      <c r="B3" s="10" t="s">
        <v>12</v>
      </c>
      <c r="C3" s="10"/>
      <c r="D3" s="10"/>
      <c r="E3" s="10"/>
      <c r="F3" s="10"/>
      <c r="G3" s="10"/>
      <c r="H3" s="10"/>
      <c r="I3" s="10"/>
    </row>
    <row r="4" customFormat="false" ht="32.1" hidden="false" customHeight="true" outlineLevel="0" collapsed="false">
      <c r="A4" s="7" t="s">
        <v>13</v>
      </c>
      <c r="B4" s="10" t="s">
        <v>14</v>
      </c>
      <c r="C4" s="10" t="s">
        <v>15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</row>
    <row r="5" customFormat="false" ht="32.1" hidden="false" customHeight="true" outlineLevel="0" collapsed="false">
      <c r="A5" s="7" t="s">
        <v>21</v>
      </c>
      <c r="B5" s="10" t="s">
        <v>14</v>
      </c>
      <c r="C5" s="10" t="s">
        <v>14</v>
      </c>
      <c r="D5" s="10" t="s">
        <v>15</v>
      </c>
      <c r="E5" s="10" t="s">
        <v>19</v>
      </c>
      <c r="F5" s="10" t="s">
        <v>22</v>
      </c>
      <c r="G5" s="10" t="s">
        <v>19</v>
      </c>
      <c r="H5" s="10" t="s">
        <v>19</v>
      </c>
      <c r="I5" s="10" t="s">
        <v>20</v>
      </c>
    </row>
    <row r="6" customFormat="false" ht="17.85" hidden="false" customHeight="true" outlineLevel="0" collapsed="false">
      <c r="A6" s="7" t="s">
        <v>23</v>
      </c>
      <c r="B6" s="11" t="s">
        <v>24</v>
      </c>
      <c r="C6" s="11"/>
      <c r="D6" s="11"/>
      <c r="E6" s="11"/>
      <c r="F6" s="11"/>
      <c r="G6" s="11"/>
      <c r="H6" s="11"/>
      <c r="I6" s="11"/>
    </row>
    <row r="7" customFormat="false" ht="16.35" hidden="false" customHeight="true" outlineLevel="0" collapsed="false">
      <c r="A7" s="11" t="s">
        <v>25</v>
      </c>
      <c r="B7" s="11" t="s">
        <v>26</v>
      </c>
      <c r="C7" s="11" t="s">
        <v>26</v>
      </c>
      <c r="D7" s="11" t="s">
        <v>27</v>
      </c>
      <c r="E7" s="11" t="s">
        <v>28</v>
      </c>
      <c r="F7" s="11" t="s">
        <v>28</v>
      </c>
      <c r="G7" s="11" t="s">
        <v>27</v>
      </c>
      <c r="H7" s="11" t="s">
        <v>28</v>
      </c>
      <c r="I7" s="11" t="s">
        <v>29</v>
      </c>
      <c r="K7" s="12"/>
    </row>
    <row r="8" customFormat="false" ht="15" hidden="false" customHeight="false" outlineLevel="0" collapsed="false">
      <c r="A8" s="13" t="s">
        <v>30</v>
      </c>
      <c r="B8" s="14" t="n">
        <f aca="false">13027.1625*(1-D1)</f>
        <v>7816.2975</v>
      </c>
      <c r="C8" s="14" t="n">
        <f aca="false">12596.5125*(1-D1)</f>
        <v>7557.9075</v>
      </c>
      <c r="D8" s="14" t="n">
        <f aca="false">16771.425*(1-D1)</f>
        <v>10062.855</v>
      </c>
      <c r="E8" s="14" t="n">
        <f aca="false">23231.175*(1-D1)</f>
        <v>13938.705</v>
      </c>
      <c r="F8" s="14" t="n">
        <f aca="false">24702.5625*(1-D1)</f>
        <v>14821.5375</v>
      </c>
      <c r="G8" s="15" t="n">
        <f aca="false">15993.8625*(1-D1)</f>
        <v>9596.3175</v>
      </c>
      <c r="H8" s="15" t="n">
        <f aca="false">16819.275*(1-D1)</f>
        <v>10091.565</v>
      </c>
      <c r="I8" s="15" t="n">
        <f aca="false">19295.5125*(1-D1)</f>
        <v>11577.3075</v>
      </c>
      <c r="K8" s="12"/>
    </row>
    <row r="9" customFormat="false" ht="15" hidden="false" customHeight="false" outlineLevel="0" collapsed="false">
      <c r="A9" s="13" t="s">
        <v>31</v>
      </c>
      <c r="B9" s="16" t="n">
        <f aca="false">14833.5*(1-D1)</f>
        <v>8900.1</v>
      </c>
      <c r="C9" s="16" t="n">
        <f aca="false">14343.0375*(1-D1)</f>
        <v>8605.8225</v>
      </c>
      <c r="D9" s="16" t="n">
        <f aca="false">19116.075*(1-D1)</f>
        <v>11469.645</v>
      </c>
      <c r="E9" s="16" t="n">
        <f aca="false">26484.975*(1-D1)</f>
        <v>15890.985</v>
      </c>
      <c r="F9" s="16" t="n">
        <f aca="false">28159.725*(1-D1)</f>
        <v>16895.835</v>
      </c>
      <c r="G9" s="17" t="n">
        <f aca="false">18242.8125*(1-D1)</f>
        <v>10945.6875</v>
      </c>
      <c r="H9" s="17" t="n">
        <f aca="false">19163.925*(1-D1)</f>
        <v>11498.355</v>
      </c>
      <c r="I9" s="17" t="n">
        <f aca="false">22011*(1-D1)</f>
        <v>13206.6</v>
      </c>
      <c r="K9" s="12"/>
    </row>
    <row r="10" customFormat="false" ht="15" hidden="false" customHeight="false" outlineLevel="0" collapsed="false">
      <c r="A10" s="13" t="s">
        <v>32</v>
      </c>
      <c r="B10" s="16" t="n">
        <f aca="false">18326.55*(1-D1)</f>
        <v>10995.93</v>
      </c>
      <c r="C10" s="16" t="n">
        <f aca="false">20396.0625*(1-D1)</f>
        <v>12237.6375</v>
      </c>
      <c r="D10" s="16" t="n">
        <f aca="false">23625.9375*(1-D1)</f>
        <v>14175.5625</v>
      </c>
      <c r="E10" s="16" t="n">
        <f aca="false">32729.4*(1-D1)</f>
        <v>19637.64</v>
      </c>
      <c r="F10" s="16" t="n">
        <f aca="false">34798.9125*(1-D1)</f>
        <v>20879.3475</v>
      </c>
      <c r="G10" s="17" t="n">
        <f aca="false">22501.4625*(1-D1)</f>
        <v>13500.8775</v>
      </c>
      <c r="H10" s="17" t="n">
        <f aca="false">23685.75*(1-D1)</f>
        <v>14211.45</v>
      </c>
      <c r="I10" s="17" t="n">
        <f aca="false">27190.7625*(1-D1)</f>
        <v>16314.4575</v>
      </c>
      <c r="K10" s="12"/>
    </row>
    <row r="11" customFormat="false" ht="15" hidden="false" customHeight="false" outlineLevel="0" collapsed="false">
      <c r="A11" s="13" t="s">
        <v>33</v>
      </c>
      <c r="B11" s="16" t="n">
        <f aca="false">20372.1375*(1-D1)</f>
        <v>12223.2825</v>
      </c>
      <c r="C11" s="16" t="n">
        <f aca="false">22656.975*(1-D1)</f>
        <v>13594.185</v>
      </c>
      <c r="D11" s="16" t="n">
        <f aca="false">26221.8*(1-D1)</f>
        <v>15733.08</v>
      </c>
      <c r="E11" s="16" t="n">
        <f aca="false">36366*(1-D1)</f>
        <v>21819.6</v>
      </c>
      <c r="F11" s="16" t="n">
        <f aca="false">38626.9125*(1-D1)</f>
        <v>23176.1475</v>
      </c>
      <c r="G11" s="17" t="n">
        <f aca="false">25025.55*(1-D1)</f>
        <v>15015.33</v>
      </c>
      <c r="H11" s="17" t="n">
        <f aca="false">26317.5*(1-D1)</f>
        <v>15790.5</v>
      </c>
      <c r="I11" s="17" t="n">
        <f aca="false">30193.35*(1-D1)</f>
        <v>18116.01</v>
      </c>
      <c r="K11" s="12"/>
    </row>
    <row r="12" customFormat="false" ht="13.8" hidden="false" customHeight="false" outlineLevel="0" collapsed="false">
      <c r="A12" s="13" t="s">
        <v>34</v>
      </c>
      <c r="B12" s="18" t="n">
        <f aca="false">22633.05*(1-D1)</f>
        <v>13579.83</v>
      </c>
      <c r="C12" s="19" t="n">
        <f aca="false">25169.1*(1-D1)</f>
        <v>15101.46</v>
      </c>
      <c r="D12" s="19" t="n">
        <f aca="false">29128.6875*(1-D1)</f>
        <v>17477.2125</v>
      </c>
      <c r="E12" s="19" t="n">
        <f aca="false">40397.3625*(1-D1)</f>
        <v>24238.4175</v>
      </c>
      <c r="F12" s="19" t="n">
        <f aca="false">42933.4125*(1-D1)</f>
        <v>25760.0475</v>
      </c>
      <c r="G12" s="20" t="n">
        <f aca="false">27776.925*(1-D1)</f>
        <v>16666.155</v>
      </c>
      <c r="H12" s="21" t="n">
        <f aca="false">29224.3875*(1-D1)</f>
        <v>17534.6325</v>
      </c>
      <c r="I12" s="21" t="n">
        <f aca="false">33530.8875*(1-D1)</f>
        <v>20118.5325</v>
      </c>
      <c r="K12" s="12"/>
    </row>
    <row r="13" customFormat="false" ht="15" hidden="false" customHeight="false" outlineLevel="0" collapsed="false">
      <c r="A13" s="13" t="s">
        <v>35</v>
      </c>
      <c r="B13" s="16" t="n">
        <f aca="false">25791.15*(1-D1)</f>
        <v>15474.69</v>
      </c>
      <c r="C13" s="16" t="n">
        <f aca="false">28686.075*(1-D1)</f>
        <v>17211.645</v>
      </c>
      <c r="D13" s="16" t="n">
        <f aca="false">33219.8625*(1-D1)</f>
        <v>19931.9175</v>
      </c>
      <c r="E13" s="16" t="n">
        <f aca="false">46055.625*(1-D1)</f>
        <v>27633.375</v>
      </c>
      <c r="F13" s="16" t="n">
        <f aca="false">48938.5875*(1-D1)</f>
        <v>29363.1525</v>
      </c>
      <c r="G13" s="17" t="n">
        <f aca="false">31676.7*(1-D1)</f>
        <v>19006.02</v>
      </c>
      <c r="H13" s="17" t="n">
        <f aca="false">33315.5625*(1-D1)</f>
        <v>19989.3375</v>
      </c>
      <c r="I13" s="17" t="n">
        <f aca="false">38244.1125*(1-D1)</f>
        <v>22946.4675</v>
      </c>
      <c r="K13" s="12"/>
    </row>
    <row r="15" customFormat="false" ht="15" hidden="false" customHeight="false" outlineLevel="0" collapsed="false">
      <c r="A15" s="22" t="s">
        <v>36</v>
      </c>
    </row>
    <row r="16" customFormat="false" ht="15" hidden="false" customHeight="false" outlineLevel="0" collapsed="false">
      <c r="A16" s="23" t="s">
        <v>37</v>
      </c>
    </row>
    <row r="17" customFormat="false" ht="15" hidden="false" customHeight="false" outlineLevel="0" collapsed="false">
      <c r="A17" s="24" t="s">
        <v>38</v>
      </c>
    </row>
    <row r="18" customFormat="false" ht="13.8" hidden="false" customHeight="false" outlineLevel="0" collapsed="false">
      <c r="A18" s="24" t="s">
        <v>39</v>
      </c>
    </row>
    <row r="19" customFormat="false" ht="13.8" hidden="false" customHeight="false" outlineLevel="0" collapsed="false">
      <c r="A19" s="24" t="s">
        <v>40</v>
      </c>
    </row>
    <row r="20" customFormat="false" ht="15" hidden="false" customHeight="false" outlineLevel="0" collapsed="false">
      <c r="A20" s="24" t="s">
        <v>41</v>
      </c>
    </row>
    <row r="21" customFormat="false" ht="13.8" hidden="false" customHeight="false" outlineLevel="0" collapsed="false">
      <c r="A21" s="24" t="s">
        <v>42</v>
      </c>
    </row>
    <row r="22" customFormat="false" ht="15" hidden="false" customHeight="false" outlineLevel="0" collapsed="false">
      <c r="A22" s="24" t="s">
        <v>43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3:I3"/>
    <mergeCell ref="B6:I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6" min="2" style="0" width="15.57"/>
    <col collapsed="false" customWidth="true" hidden="false" outlineLevel="0" max="7" min="7" style="0" width="16.57"/>
    <col collapsed="false" customWidth="true" hidden="false" outlineLevel="0" max="9" min="8" style="0" width="15.57"/>
    <col collapsed="false" customWidth="true" hidden="false" outlineLevel="0" max="10" min="10" style="0" width="17.59"/>
  </cols>
  <sheetData>
    <row r="1" customFormat="false" ht="13.8" hidden="false" customHeight="false" outlineLevel="0" collapsed="false">
      <c r="A1" s="25"/>
      <c r="H1" s="26" t="s">
        <v>44</v>
      </c>
      <c r="I1" s="25" t="s">
        <v>45</v>
      </c>
    </row>
    <row r="2" customFormat="false" ht="41.25" hidden="false" customHeight="true" outlineLevel="0" collapsed="false">
      <c r="A2" s="7" t="s">
        <v>2</v>
      </c>
      <c r="B2" s="8" t="s">
        <v>46</v>
      </c>
      <c r="C2" s="8" t="s">
        <v>47</v>
      </c>
      <c r="D2" s="8" t="s">
        <v>48</v>
      </c>
      <c r="E2" s="8" t="s">
        <v>49</v>
      </c>
      <c r="F2" s="8" t="s">
        <v>50</v>
      </c>
      <c r="G2" s="27" t="s">
        <v>51</v>
      </c>
      <c r="H2" s="8" t="s">
        <v>52</v>
      </c>
      <c r="I2" s="8" t="s">
        <v>53</v>
      </c>
    </row>
    <row r="3" customFormat="false" ht="20.45" hidden="false" customHeight="true" outlineLevel="0" collapsed="false">
      <c r="A3" s="7" t="s">
        <v>11</v>
      </c>
      <c r="B3" s="10" t="s">
        <v>54</v>
      </c>
      <c r="C3" s="10"/>
      <c r="D3" s="10"/>
      <c r="E3" s="10"/>
      <c r="F3" s="10"/>
      <c r="G3" s="10"/>
      <c r="H3" s="10"/>
      <c r="I3" s="10"/>
    </row>
    <row r="4" customFormat="false" ht="30.6" hidden="false" customHeight="true" outlineLevel="0" collapsed="false">
      <c r="A4" s="7" t="s">
        <v>13</v>
      </c>
      <c r="B4" s="10" t="s">
        <v>55</v>
      </c>
      <c r="C4" s="10" t="s">
        <v>56</v>
      </c>
      <c r="D4" s="10" t="s">
        <v>56</v>
      </c>
      <c r="E4" s="10" t="s">
        <v>57</v>
      </c>
      <c r="F4" s="10" t="s">
        <v>58</v>
      </c>
      <c r="G4" s="10" t="s">
        <v>59</v>
      </c>
      <c r="H4" s="10" t="s">
        <v>60</v>
      </c>
      <c r="I4" s="10" t="s">
        <v>61</v>
      </c>
    </row>
    <row r="5" customFormat="false" ht="30.6" hidden="false" customHeight="true" outlineLevel="0" collapsed="false">
      <c r="A5" s="7" t="s">
        <v>21</v>
      </c>
      <c r="B5" s="10" t="s">
        <v>55</v>
      </c>
      <c r="C5" s="10" t="s">
        <v>56</v>
      </c>
      <c r="D5" s="10" t="s">
        <v>55</v>
      </c>
      <c r="E5" s="10" t="s">
        <v>57</v>
      </c>
      <c r="F5" s="10" t="s">
        <v>58</v>
      </c>
      <c r="G5" s="10" t="s">
        <v>62</v>
      </c>
      <c r="H5" s="10" t="s">
        <v>60</v>
      </c>
      <c r="I5" s="10" t="s">
        <v>63</v>
      </c>
    </row>
    <row r="6" customFormat="false" ht="25.15" hidden="false" customHeight="true" outlineLevel="0" collapsed="false">
      <c r="A6" s="7" t="s">
        <v>23</v>
      </c>
      <c r="B6" s="11" t="s">
        <v>64</v>
      </c>
      <c r="C6" s="11"/>
      <c r="D6" s="11"/>
      <c r="E6" s="11"/>
      <c r="F6" s="11"/>
      <c r="G6" s="11"/>
      <c r="H6" s="11"/>
      <c r="I6" s="11"/>
    </row>
    <row r="7" customFormat="false" ht="15" hidden="false" customHeight="false" outlineLevel="0" collapsed="false">
      <c r="A7" s="7" t="s">
        <v>25</v>
      </c>
      <c r="B7" s="28" t="s">
        <v>27</v>
      </c>
      <c r="C7" s="28" t="s">
        <v>27</v>
      </c>
      <c r="D7" s="28" t="s">
        <v>27</v>
      </c>
      <c r="E7" s="28" t="s">
        <v>28</v>
      </c>
      <c r="F7" s="28" t="s">
        <v>65</v>
      </c>
      <c r="G7" s="28" t="s">
        <v>65</v>
      </c>
      <c r="H7" s="28" t="s">
        <v>28</v>
      </c>
      <c r="I7" s="28" t="s">
        <v>29</v>
      </c>
    </row>
    <row r="8" customFormat="false" ht="15" hidden="false" customHeight="false" outlineLevel="0" collapsed="false">
      <c r="A8" s="29" t="s">
        <v>30</v>
      </c>
      <c r="B8" s="15" t="n">
        <f aca="false">18948.6*(1-TFK!D1)</f>
        <v>11369.16</v>
      </c>
      <c r="C8" s="15" t="n">
        <f aca="false">20611.3875*(1-TFK!D1)</f>
        <v>12366.8325</v>
      </c>
      <c r="D8" s="15" t="n">
        <f aca="false">19750.0875*(1-TFK!D1)</f>
        <v>11850.0525</v>
      </c>
      <c r="E8" s="15" t="n">
        <f aca="false">28052.0625*(1-TFK!D1)</f>
        <v>16831.2375</v>
      </c>
      <c r="F8" s="15" t="n">
        <f aca="false">26006.475*(1-TFK!D1)</f>
        <v>15603.885</v>
      </c>
      <c r="G8" s="15" t="n">
        <f aca="false">26748.15*(1-TFK!D1)</f>
        <v>16048.89</v>
      </c>
      <c r="H8" s="15" t="n">
        <f aca="false">22716.7875*(1-TFK!D1)</f>
        <v>13630.0725</v>
      </c>
      <c r="I8" s="15" t="n">
        <f aca="false">32597.8125*(1-TFK!D1)</f>
        <v>19558.6875</v>
      </c>
    </row>
    <row r="9" customFormat="false" ht="15" hidden="false" customHeight="false" outlineLevel="0" collapsed="false">
      <c r="A9" s="29" t="s">
        <v>31</v>
      </c>
      <c r="B9" s="17" t="n">
        <f aca="false">21580.35*(1-TFK!D1)</f>
        <v>12948.21</v>
      </c>
      <c r="C9" s="17" t="n">
        <f aca="false">23494.35*(1-TFK!D1)</f>
        <v>14096.61</v>
      </c>
      <c r="D9" s="17" t="n">
        <f aca="false">22477.5375*(1-TFK!D1)</f>
        <v>13486.5225</v>
      </c>
      <c r="E9" s="17" t="n">
        <f aca="false">31999.6875*(1-TFK!D1)</f>
        <v>19199.8125</v>
      </c>
      <c r="F9" s="17" t="n">
        <f aca="false">29655.0375*(1-TFK!D1)</f>
        <v>17793.0225</v>
      </c>
      <c r="G9" s="17" t="n">
        <f aca="false">30492.4125*(1-TFK!D1)</f>
        <v>18295.4475</v>
      </c>
      <c r="H9" s="17" t="n">
        <f aca="false">25898.8125*(1-TFK!D1)</f>
        <v>15539.2875</v>
      </c>
      <c r="I9" s="17" t="n">
        <f aca="false">37143.5625*(1-TFK!D1)</f>
        <v>22286.1375</v>
      </c>
    </row>
    <row r="10" customFormat="false" ht="15" hidden="false" customHeight="false" outlineLevel="0" collapsed="false">
      <c r="A10" s="29" t="s">
        <v>32</v>
      </c>
      <c r="B10" s="17" t="n">
        <f aca="false">26652.45*(1-TFK!D1)</f>
        <v>15991.47</v>
      </c>
      <c r="C10" s="17" t="n">
        <f aca="false">29021.025*(1-TFK!D1)</f>
        <v>17412.615</v>
      </c>
      <c r="D10" s="17" t="n">
        <f aca="false">27776.925*(1-TFK!D1)</f>
        <v>16666.155</v>
      </c>
      <c r="E10" s="17" t="n">
        <f aca="false">39512.1375*(1-TFK!D1)</f>
        <v>23707.2825</v>
      </c>
      <c r="F10" s="17" t="n">
        <f aca="false">36653.1*(1-TFK!D1)</f>
        <v>21991.86</v>
      </c>
      <c r="G10" s="17" t="n">
        <f aca="false">37657.95*(1-TFK!D1)</f>
        <v>22594.77</v>
      </c>
      <c r="H10" s="17" t="n">
        <f aca="false">31999.6875*(1-TFK!D1)</f>
        <v>19199.8125</v>
      </c>
      <c r="I10" s="17" t="n">
        <f aca="false">45888.15*(1-TFK!D1)</f>
        <v>27532.89</v>
      </c>
    </row>
    <row r="11" customFormat="false" ht="15" hidden="false" customHeight="false" outlineLevel="0" collapsed="false">
      <c r="A11" s="29" t="s">
        <v>33</v>
      </c>
      <c r="B11" s="17" t="n">
        <f aca="false">29631.1125*(1-TFK!D1)</f>
        <v>17778.6675</v>
      </c>
      <c r="C11" s="17" t="n">
        <f aca="false">32250.9*(1-TFK!D1)</f>
        <v>19350.54</v>
      </c>
      <c r="D11" s="17" t="n">
        <f aca="false">30875.2125*(1-TFK!D1)</f>
        <v>18525.1275</v>
      </c>
      <c r="E11" s="17" t="n">
        <f aca="false">43878.45*(1-TFK!D1)</f>
        <v>26327.07</v>
      </c>
      <c r="F11" s="17" t="n">
        <f aca="false">40720.35*(1-TFK!D1)</f>
        <v>24432.21</v>
      </c>
      <c r="G11" s="17" t="n">
        <f aca="false">41832.8625*(1-TFK!D1)</f>
        <v>25099.7175</v>
      </c>
      <c r="H11" s="17" t="n">
        <f aca="false">35552.55*(1-TFK!D1)</f>
        <v>21331.53</v>
      </c>
      <c r="I11" s="17" t="n">
        <f aca="false">50972.2125*(1-TFK!D1)</f>
        <v>30583.3275</v>
      </c>
    </row>
    <row r="12" customFormat="false" ht="15" hidden="false" customHeight="false" outlineLevel="0" collapsed="false">
      <c r="A12" s="29" t="s">
        <v>34</v>
      </c>
      <c r="B12" s="21" t="n">
        <f aca="false">32920.8*(1-TFK!D1)</f>
        <v>19752.48</v>
      </c>
      <c r="C12" s="21" t="n">
        <f aca="false">35827.6875*(1-TFK!D1)</f>
        <v>21496.6125</v>
      </c>
      <c r="D12" s="21" t="n">
        <f aca="false">34296.4875*(1-TFK!D1)</f>
        <v>20577.8925</v>
      </c>
      <c r="E12" s="21" t="n">
        <f aca="false">48771.1125*(1-TFK!D1)</f>
        <v>29262.6675</v>
      </c>
      <c r="F12" s="21" t="n">
        <f aca="false">45218.25*(1-TFK!D1)</f>
        <v>27130.95</v>
      </c>
      <c r="G12" s="21" t="n">
        <f aca="false">46486.275*(1-TFK!D1)</f>
        <v>27891.765</v>
      </c>
      <c r="H12" s="21" t="n">
        <f aca="false">39488.2125*(1-TFK!D1)</f>
        <v>23692.9275</v>
      </c>
      <c r="I12" s="21" t="n">
        <f aca="false">56654.4*(1-TFK!D1)</f>
        <v>33992.64</v>
      </c>
    </row>
    <row r="13" customFormat="false" ht="15" hidden="false" customHeight="false" outlineLevel="0" collapsed="false">
      <c r="A13" s="29" t="s">
        <v>35</v>
      </c>
      <c r="B13" s="17" t="n">
        <f aca="false">37526.3625*(1-TFK!D1)</f>
        <v>22515.8175</v>
      </c>
      <c r="C13" s="17" t="n">
        <f aca="false">40828.0125*(1-TFK!D1)</f>
        <v>24496.8075</v>
      </c>
      <c r="D13" s="17" t="n">
        <f aca="false">39105.4125*(1-TFK!D1)</f>
        <v>23463.2475</v>
      </c>
      <c r="E13" s="17" t="n">
        <f aca="false">55601.7*(1-TFK!D1)</f>
        <v>33361.02</v>
      </c>
      <c r="F13" s="17" t="n">
        <f aca="false">51546.4125*(1-TFK!D1)</f>
        <v>30927.8475</v>
      </c>
      <c r="G13" s="17" t="n">
        <f aca="false">52993.875*(1-TFK!D1)</f>
        <v>31796.325</v>
      </c>
      <c r="H13" s="17" t="n">
        <f aca="false">45026.85*(1-TFK!D1)</f>
        <v>27016.11</v>
      </c>
      <c r="I13" s="17" t="n">
        <f aca="false">64573.575*(1-TFK!D1)</f>
        <v>38744.145</v>
      </c>
    </row>
    <row r="15" customFormat="false" ht="15" hidden="false" customHeight="false" outlineLevel="0" collapsed="false">
      <c r="A15" s="22"/>
    </row>
    <row r="16" customFormat="false" ht="13.8" hidden="false" customHeight="false" outlineLevel="0" collapsed="false">
      <c r="A16" s="22" t="s">
        <v>36</v>
      </c>
    </row>
    <row r="17" customFormat="false" ht="13.8" hidden="false" customHeight="false" outlineLevel="0" collapsed="false">
      <c r="A17" s="23" t="s">
        <v>37</v>
      </c>
    </row>
    <row r="18" customFormat="false" ht="13.8" hidden="false" customHeight="false" outlineLevel="0" collapsed="false">
      <c r="A18" s="24" t="s">
        <v>38</v>
      </c>
    </row>
    <row r="19" customFormat="false" ht="13.8" hidden="false" customHeight="false" outlineLevel="0" collapsed="false">
      <c r="A19" s="24" t="s">
        <v>39</v>
      </c>
    </row>
    <row r="20" customFormat="false" ht="13.8" hidden="false" customHeight="false" outlineLevel="0" collapsed="false">
      <c r="A20" s="24" t="s">
        <v>40</v>
      </c>
    </row>
    <row r="21" customFormat="false" ht="13.8" hidden="false" customHeight="false" outlineLevel="0" collapsed="false">
      <c r="A21" s="24" t="s">
        <v>41</v>
      </c>
    </row>
    <row r="22" customFormat="false" ht="13.8" hidden="false" customHeight="false" outlineLevel="0" collapsed="false">
      <c r="A22" s="24" t="s">
        <v>42</v>
      </c>
    </row>
    <row r="23" customFormat="false" ht="13.8" hidden="false" customHeight="false" outlineLevel="0" collapsed="false">
      <c r="A23" s="24" t="s">
        <v>43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3:I3"/>
    <mergeCell ref="B6:I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FF"/>
    <pageSetUpPr fitToPage="true"/>
  </sheetPr>
  <dimension ref="A1:N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2.57"/>
    <col collapsed="false" customWidth="true" hidden="false" outlineLevel="0" max="14" min="3" style="0" width="10.71"/>
  </cols>
  <sheetData>
    <row r="1" customFormat="false" ht="13.8" hidden="false" customHeight="false" outlineLevel="0" collapsed="false">
      <c r="A1" s="30"/>
      <c r="I1" s="22"/>
      <c r="M1" s="22"/>
    </row>
    <row r="2" customFormat="false" ht="13.8" hidden="false" customHeight="false" outlineLevel="0" collapsed="false">
      <c r="A2" s="30"/>
      <c r="E2" s="22" t="s">
        <v>66</v>
      </c>
    </row>
    <row r="3" customFormat="false" ht="15" hidden="false" customHeight="false" outlineLevel="0" collapsed="false">
      <c r="A3" s="30"/>
    </row>
    <row r="4" customFormat="false" ht="15" hidden="false" customHeight="false" outlineLevel="0" collapsed="false">
      <c r="A4" s="31" t="n">
        <v>43795</v>
      </c>
      <c r="B4" s="32" t="s">
        <v>67</v>
      </c>
      <c r="C4" s="32"/>
      <c r="D4" s="32"/>
      <c r="E4" s="32"/>
      <c r="F4" s="32"/>
      <c r="G4" s="32"/>
      <c r="H4" s="32"/>
      <c r="I4" s="32"/>
      <c r="J4" s="13" t="s">
        <v>68</v>
      </c>
      <c r="K4" s="13"/>
      <c r="L4" s="13"/>
      <c r="M4" s="13"/>
      <c r="N4" s="13"/>
    </row>
    <row r="5" customFormat="false" ht="48.75" hidden="false" customHeight="true" outlineLevel="0" collapsed="false">
      <c r="A5" s="7" t="s">
        <v>2</v>
      </c>
      <c r="B5" s="10" t="s">
        <v>69</v>
      </c>
      <c r="C5" s="10" t="s">
        <v>70</v>
      </c>
      <c r="D5" s="10" t="s">
        <v>71</v>
      </c>
      <c r="E5" s="10" t="s">
        <v>72</v>
      </c>
      <c r="F5" s="10" t="s">
        <v>73</v>
      </c>
      <c r="G5" s="10" t="s">
        <v>74</v>
      </c>
      <c r="H5" s="10" t="s">
        <v>75</v>
      </c>
      <c r="I5" s="10" t="s">
        <v>76</v>
      </c>
      <c r="J5" s="33" t="s">
        <v>77</v>
      </c>
      <c r="K5" s="33" t="s">
        <v>78</v>
      </c>
      <c r="L5" s="33" t="s">
        <v>79</v>
      </c>
      <c r="M5" s="33" t="s">
        <v>80</v>
      </c>
      <c r="N5" s="33" t="s">
        <v>81</v>
      </c>
    </row>
    <row r="6" customFormat="false" ht="27" hidden="false" customHeight="true" outlineLevel="0" collapsed="false">
      <c r="A6" s="7" t="s">
        <v>11</v>
      </c>
      <c r="B6" s="10" t="s">
        <v>12</v>
      </c>
      <c r="C6" s="10"/>
      <c r="D6" s="10"/>
      <c r="E6" s="10"/>
      <c r="F6" s="10"/>
      <c r="G6" s="10"/>
      <c r="H6" s="10"/>
      <c r="I6" s="10"/>
      <c r="J6" s="10" t="s">
        <v>54</v>
      </c>
      <c r="K6" s="10"/>
      <c r="L6" s="10"/>
      <c r="M6" s="10"/>
      <c r="N6" s="10"/>
    </row>
    <row r="7" customFormat="false" ht="85.5" hidden="false" customHeight="false" outlineLevel="0" collapsed="false">
      <c r="A7" s="7" t="s">
        <v>82</v>
      </c>
      <c r="B7" s="34" t="s">
        <v>83</v>
      </c>
      <c r="C7" s="34" t="s">
        <v>84</v>
      </c>
      <c r="D7" s="34" t="s">
        <v>85</v>
      </c>
      <c r="E7" s="35" t="s">
        <v>86</v>
      </c>
      <c r="F7" s="34" t="s">
        <v>87</v>
      </c>
      <c r="G7" s="34" t="s">
        <v>88</v>
      </c>
      <c r="H7" s="34" t="s">
        <v>89</v>
      </c>
      <c r="I7" s="34" t="s">
        <v>90</v>
      </c>
      <c r="J7" s="34" t="s">
        <v>91</v>
      </c>
      <c r="K7" s="34" t="s">
        <v>92</v>
      </c>
      <c r="L7" s="34" t="s">
        <v>93</v>
      </c>
      <c r="M7" s="34" t="s">
        <v>94</v>
      </c>
      <c r="N7" s="34" t="s">
        <v>95</v>
      </c>
    </row>
    <row r="8" customFormat="false" ht="15" hidden="false" customHeight="false" outlineLevel="0" collapsed="false">
      <c r="A8" s="7" t="s">
        <v>96</v>
      </c>
      <c r="B8" s="10" t="s">
        <v>97</v>
      </c>
      <c r="C8" s="10" t="s">
        <v>26</v>
      </c>
      <c r="D8" s="10" t="s">
        <v>28</v>
      </c>
      <c r="E8" s="10" t="s">
        <v>28</v>
      </c>
      <c r="F8" s="10" t="s">
        <v>28</v>
      </c>
      <c r="G8" s="10" t="s">
        <v>28</v>
      </c>
      <c r="H8" s="10" t="s">
        <v>28</v>
      </c>
      <c r="I8" s="10" t="s">
        <v>28</v>
      </c>
      <c r="J8" s="10" t="s">
        <v>65</v>
      </c>
      <c r="K8" s="10" t="s">
        <v>65</v>
      </c>
      <c r="L8" s="10" t="s">
        <v>65</v>
      </c>
      <c r="M8" s="10" t="s">
        <v>65</v>
      </c>
      <c r="N8" s="10" t="s">
        <v>65</v>
      </c>
    </row>
    <row r="9" customFormat="false" ht="25.15" hidden="false" customHeight="true" outlineLevel="0" collapsed="false">
      <c r="A9" s="7" t="s">
        <v>23</v>
      </c>
      <c r="B9" s="10" t="s">
        <v>98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customFormat="false" ht="13.8" hidden="false" customHeight="false" outlineLevel="0" collapsed="false">
      <c r="A10" s="36" t="s">
        <v>30</v>
      </c>
      <c r="B10" s="37" t="n">
        <f aca="false">8842.68*(1-TFK!D1)</f>
        <v>5305.608</v>
      </c>
      <c r="C10" s="37" t="n">
        <f aca="false">10278.18*(1-TFK!D1)</f>
        <v>6166.908</v>
      </c>
      <c r="D10" s="37" t="n">
        <f aca="false">12586.464*(1-TFK!D1)</f>
        <v>7551.8784</v>
      </c>
      <c r="E10" s="37" t="n">
        <f aca="false">17731.296*(1-TFK!D1)</f>
        <v>10638.7776</v>
      </c>
      <c r="F10" s="37" t="n">
        <f aca="false">18271.044*(1-TFK!D1)</f>
        <v>10962.6264</v>
      </c>
      <c r="G10" s="37" t="n">
        <f aca="false">14756.94*(1-TFK!D1)</f>
        <v>8854.164</v>
      </c>
      <c r="H10" s="37" t="n">
        <f aca="false">19430.928*(1-TFK!D1)</f>
        <v>11658.5568</v>
      </c>
      <c r="I10" s="37" t="n">
        <f aca="false">17237.484*(1-TFK!D1)</f>
        <v>10342.4904</v>
      </c>
      <c r="J10" s="37" t="n">
        <f aca="false">19327.572*(1-TFK!D1)</f>
        <v>11596.5432</v>
      </c>
      <c r="K10" s="37" t="n">
        <f aca="false">21865.536*(1-TFK!D1)</f>
        <v>13119.3216</v>
      </c>
      <c r="L10" s="37" t="n">
        <f aca="false">24931.764*(1-TFK!D1)</f>
        <v>14959.0584</v>
      </c>
      <c r="M10" s="37" t="n">
        <f aca="false">29502.396*(1-TFK!D1)</f>
        <v>17701.4376</v>
      </c>
      <c r="N10" s="37" t="n">
        <f aca="false">26298.36*(1-TFK!D1)</f>
        <v>15779.016</v>
      </c>
    </row>
    <row r="11" customFormat="false" ht="13.8" hidden="false" customHeight="false" outlineLevel="0" collapsed="false">
      <c r="A11" s="36" t="s">
        <v>31</v>
      </c>
      <c r="B11" s="38" t="n">
        <f aca="false">10082.952*(1-TFK!D1)</f>
        <v>6049.7712</v>
      </c>
      <c r="C11" s="38" t="n">
        <f aca="false">11702.196*(1-TFK!D1)</f>
        <v>7021.3176</v>
      </c>
      <c r="D11" s="38" t="n">
        <f aca="false">14343.516*(1-TFK!D1)</f>
        <v>8606.1096</v>
      </c>
      <c r="E11" s="38" t="n">
        <f aca="false">20200.356*(1-TFK!D1)</f>
        <v>12120.2136</v>
      </c>
      <c r="F11" s="38" t="n">
        <f aca="false">20831.976*(1-TFK!D1)</f>
        <v>12499.1856</v>
      </c>
      <c r="G11" s="38" t="n">
        <f aca="false">16824.06*(1-TFK!D1)</f>
        <v>10094.436</v>
      </c>
      <c r="H11" s="38" t="n">
        <f aca="false">22141.152*(1-TFK!D1)</f>
        <v>13284.6912</v>
      </c>
      <c r="I11" s="38" t="n">
        <f aca="false">19637.64*(1-TFK!D1)</f>
        <v>11782.584</v>
      </c>
      <c r="J11" s="38" t="n">
        <f aca="false">22037.796*(1-TFK!D1)</f>
        <v>13222.6776</v>
      </c>
      <c r="K11" s="38" t="n">
        <f aca="false">24908.796*(1-TFK!D1)</f>
        <v>14945.2776</v>
      </c>
      <c r="L11" s="38" t="n">
        <f aca="false">28422.9*(1-TFK!D1)</f>
        <v>17053.74</v>
      </c>
      <c r="M11" s="38" t="n">
        <f aca="false">33636.636*(1-TFK!D1)</f>
        <v>20181.9816</v>
      </c>
      <c r="N11" s="38" t="n">
        <f aca="false">29950.272*(1-TFK!D1)</f>
        <v>17970.1632</v>
      </c>
    </row>
    <row r="12" customFormat="false" ht="13.8" hidden="false" customHeight="false" outlineLevel="0" collapsed="false">
      <c r="A12" s="36" t="s">
        <v>32</v>
      </c>
      <c r="B12" s="38" t="n">
        <f aca="false">12448.656*(1-TFK!D1)</f>
        <v>7469.1936</v>
      </c>
      <c r="C12" s="38" t="n">
        <f aca="false">14446.872*(1-TFK!D1)</f>
        <v>8668.1232</v>
      </c>
      <c r="D12" s="38" t="n">
        <f aca="false">17731.296*(1-TFK!D1)</f>
        <v>10638.7776</v>
      </c>
      <c r="E12" s="38" t="n">
        <f aca="false">24966.216*(1-TFK!D1)</f>
        <v>14979.7296</v>
      </c>
      <c r="F12" s="38" t="n">
        <f aca="false">25735.644*(1-TFK!D1)</f>
        <v>15441.3864</v>
      </c>
      <c r="G12" s="38" t="n">
        <f aca="false">20774.556*(1-TFK!D1)</f>
        <v>12464.7336</v>
      </c>
      <c r="H12" s="38" t="n">
        <f aca="false">27366.372*(1-TFK!D1)</f>
        <v>16419.8232</v>
      </c>
      <c r="I12" s="38" t="n">
        <f aca="false">24265.692*(1-TFK!D1)</f>
        <v>14559.4152</v>
      </c>
      <c r="J12" s="38" t="n">
        <f aca="false">27228.564*(1-TFK!D1)</f>
        <v>16337.1384</v>
      </c>
      <c r="K12" s="38" t="n">
        <f aca="false">30823.056*(1-TFK!D1)</f>
        <v>18493.8336</v>
      </c>
      <c r="L12" s="38" t="n">
        <f aca="false">35118.072*(1-TFK!D1)</f>
        <v>21070.8432</v>
      </c>
      <c r="M12" s="38" t="n">
        <f aca="false">41572.08*(1-TFK!D1)</f>
        <v>24943.248</v>
      </c>
      <c r="N12" s="38" t="n">
        <f aca="false">37024.416*(1-TFK!D1)</f>
        <v>22214.6496</v>
      </c>
    </row>
    <row r="13" customFormat="false" ht="14.25" hidden="false" customHeight="true" outlineLevel="0" collapsed="false">
      <c r="A13" s="36" t="s">
        <v>33</v>
      </c>
      <c r="B13" s="38" t="n">
        <f aca="false">13826.736*(1-TFK!D1)</f>
        <v>8296.0416</v>
      </c>
      <c r="C13" s="38" t="n">
        <f aca="false">16066.116*(1-TFK!D1)</f>
        <v>9639.6696</v>
      </c>
      <c r="D13" s="38" t="n">
        <f aca="false">19683.576*(1-TFK!D1)</f>
        <v>11810.1456</v>
      </c>
      <c r="E13" s="38" t="n">
        <f aca="false">27745.344*(1-TFK!D1)</f>
        <v>16647.2064</v>
      </c>
      <c r="F13" s="38" t="n">
        <f aca="false">28583.676*(1-TFK!D1)</f>
        <v>17150.2056</v>
      </c>
      <c r="G13" s="38" t="n">
        <f aca="false">23094.324*(1-TFK!D1)</f>
        <v>13856.5944</v>
      </c>
      <c r="H13" s="38" t="n">
        <f aca="false">30409.632*(1-TFK!D1)</f>
        <v>18245.7792</v>
      </c>
      <c r="I13" s="38" t="n">
        <f aca="false">26952.948*(1-TFK!D1)</f>
        <v>16171.7688</v>
      </c>
      <c r="J13" s="38" t="n">
        <f aca="false">30237.372*(1-TFK!D1)</f>
        <v>18142.4232</v>
      </c>
      <c r="K13" s="38" t="n">
        <f aca="false">34210.836*(1-TFK!D1)</f>
        <v>20526.5016</v>
      </c>
      <c r="L13" s="38" t="n">
        <f aca="false">39022.632*(1-TFK!D1)</f>
        <v>23413.5792</v>
      </c>
      <c r="M13" s="38" t="n">
        <f aca="false">46177.164*(1-TFK!D1)</f>
        <v>27706.2984</v>
      </c>
      <c r="N13" s="38" t="n">
        <f aca="false">41135.688*(1-TFK!D1)</f>
        <v>24681.4128</v>
      </c>
    </row>
    <row r="14" customFormat="false" ht="13.8" hidden="false" customHeight="false" outlineLevel="0" collapsed="false">
      <c r="A14" s="36" t="s">
        <v>34</v>
      </c>
      <c r="B14" s="39" t="n">
        <f aca="false">15377.076*(1-TFK!D1)</f>
        <v>9226.2456</v>
      </c>
      <c r="C14" s="39" t="n">
        <f aca="false">17834.652*(1-TFK!D1)</f>
        <v>10700.7912</v>
      </c>
      <c r="D14" s="39" t="n">
        <f aca="false">21865.536*(1-TFK!D1)</f>
        <v>13119.3216</v>
      </c>
      <c r="E14" s="39" t="n">
        <f aca="false">30823.056*(1-TFK!D1)</f>
        <v>18493.8336</v>
      </c>
      <c r="F14" s="39" t="n">
        <f aca="false">31776.228*(1-TFK!D1)</f>
        <v>19065.7368</v>
      </c>
      <c r="G14" s="39" t="n">
        <f aca="false">25655.256*(1-TFK!D1)</f>
        <v>15393.1536</v>
      </c>
      <c r="H14" s="39" t="n">
        <f aca="false">33774.444*(1-TFK!D1)</f>
        <v>20264.6664</v>
      </c>
      <c r="I14" s="39" t="n">
        <f aca="false">29950.272*(1-TFK!D1)</f>
        <v>17970.1632</v>
      </c>
      <c r="J14" s="39" t="n">
        <f aca="false">33590.7*(1-TFK!D1)</f>
        <v>20154.42</v>
      </c>
      <c r="K14" s="39" t="n">
        <f aca="false">38012.04*(1-TFK!D1)</f>
        <v>22807.224</v>
      </c>
      <c r="L14" s="39" t="n">
        <f aca="false">43363.584*(1-TFK!D1)</f>
        <v>26018.1504</v>
      </c>
      <c r="M14" s="39" t="n">
        <f aca="false">51287.544*(1-TFK!D1)</f>
        <v>30772.5264</v>
      </c>
      <c r="N14" s="39" t="n">
        <f aca="false">45706.32*(1-TFK!D1)</f>
        <v>27423.792</v>
      </c>
    </row>
    <row r="15" customFormat="false" ht="13.8" hidden="false" customHeight="false" outlineLevel="0" collapsed="false">
      <c r="A15" s="36" t="s">
        <v>35</v>
      </c>
      <c r="B15" s="38" t="n">
        <f aca="false">17547.552*(1-TFK!D1)</f>
        <v>10528.5312</v>
      </c>
      <c r="C15" s="38" t="n">
        <f aca="false">20338.164*(1-TFK!D1)</f>
        <v>12202.8984</v>
      </c>
      <c r="D15" s="38" t="n">
        <f aca="false">24931.764*(1-TFK!D1)</f>
        <v>14959.0584</v>
      </c>
      <c r="E15" s="38" t="n">
        <f aca="false">35118.072*(1-TFK!D1)</f>
        <v>21070.8432</v>
      </c>
      <c r="F15" s="38" t="n">
        <f aca="false">36220.536*(1-TFK!D1)</f>
        <v>21732.3216</v>
      </c>
      <c r="G15" s="38" t="n">
        <f aca="false">29249.748*(1-TFK!D1)</f>
        <v>17549.8488</v>
      </c>
      <c r="H15" s="38" t="n">
        <f aca="false">38505.852*(1-TFK!D1)</f>
        <v>23103.5112</v>
      </c>
      <c r="I15" s="38" t="n">
        <f aca="false">34153.416*(1-TFK!D1)</f>
        <v>20492.0496</v>
      </c>
      <c r="J15" s="38" t="n">
        <f aca="false">38299.14*(1-TFK!D1)</f>
        <v>22979.484</v>
      </c>
      <c r="K15" s="38" t="n">
        <f aca="false">43352.1*(1-TFK!D1)</f>
        <v>26011.26</v>
      </c>
      <c r="L15" s="38" t="n">
        <f aca="false">49427.136*(1-TFK!D1)</f>
        <v>29656.2816</v>
      </c>
      <c r="M15" s="38" t="n">
        <f aca="false">58476.528*(1-TFK!D1)</f>
        <v>35085.9168</v>
      </c>
      <c r="N15" s="38" t="n">
        <f aca="false">52114.392*(1-TFK!D1)</f>
        <v>31268.6352</v>
      </c>
    </row>
    <row r="17" customFormat="false" ht="15" hidden="false" customHeight="false" outlineLevel="0" collapsed="false">
      <c r="A17" s="22"/>
    </row>
    <row r="18" customFormat="false" ht="13.8" hidden="false" customHeight="false" outlineLevel="0" collapsed="false">
      <c r="A18" s="22" t="s">
        <v>36</v>
      </c>
    </row>
    <row r="19" customFormat="false" ht="13.8" hidden="false" customHeight="false" outlineLevel="0" collapsed="false">
      <c r="A19" s="23" t="s">
        <v>37</v>
      </c>
    </row>
    <row r="20" customFormat="false" ht="13.8" hidden="false" customHeight="false" outlineLevel="0" collapsed="false">
      <c r="A20" s="24" t="s">
        <v>38</v>
      </c>
    </row>
    <row r="21" customFormat="false" ht="13.8" hidden="false" customHeight="false" outlineLevel="0" collapsed="false">
      <c r="A21" s="24" t="s">
        <v>39</v>
      </c>
    </row>
    <row r="22" customFormat="false" ht="13.8" hidden="false" customHeight="false" outlineLevel="0" collapsed="false">
      <c r="A22" s="24" t="s">
        <v>40</v>
      </c>
    </row>
    <row r="23" customFormat="false" ht="13.8" hidden="false" customHeight="false" outlineLevel="0" collapsed="false">
      <c r="A23" s="24" t="s">
        <v>41</v>
      </c>
    </row>
    <row r="24" customFormat="false" ht="13.8" hidden="false" customHeight="false" outlineLevel="0" collapsed="false">
      <c r="A24" s="24" t="s">
        <v>42</v>
      </c>
    </row>
    <row r="25" customFormat="false" ht="13.8" hidden="false" customHeight="false" outlineLevel="0" collapsed="false">
      <c r="A25" s="24" t="s">
        <v>43</v>
      </c>
    </row>
  </sheetData>
  <mergeCells count="5">
    <mergeCell ref="B4:I4"/>
    <mergeCell ref="J4:N4"/>
    <mergeCell ref="B6:I6"/>
    <mergeCell ref="J6:N6"/>
    <mergeCell ref="B9:N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tru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2.57"/>
    <col collapsed="false" customWidth="true" hidden="false" outlineLevel="0" max="2" min="2" style="0" width="12.57"/>
    <col collapsed="false" customWidth="true" hidden="false" outlineLevel="0" max="3" min="3" style="0" width="15.57"/>
    <col collapsed="false" customWidth="true" hidden="false" outlineLevel="0" max="6" min="4" style="0" width="12.29"/>
    <col collapsed="false" customWidth="true" hidden="false" outlineLevel="0" max="7" min="7" style="0" width="13.14"/>
    <col collapsed="false" customWidth="true" hidden="false" outlineLevel="0" max="8" min="8" style="0" width="10.85"/>
    <col collapsed="false" customWidth="true" hidden="false" outlineLevel="0" max="9" min="9" style="0" width="12.29"/>
    <col collapsed="false" customWidth="true" hidden="false" outlineLevel="0" max="10" min="10" style="0" width="10.29"/>
    <col collapsed="false" customWidth="true" hidden="false" outlineLevel="0" max="12" min="11" style="0" width="10.99"/>
    <col collapsed="false" customWidth="true" hidden="false" outlineLevel="0" max="13" min="13" style="0" width="10.29"/>
  </cols>
  <sheetData>
    <row r="1" customFormat="false" ht="15" hidden="false" customHeight="false" outlineLevel="0" collapsed="false">
      <c r="A1" s="40" t="s">
        <v>99</v>
      </c>
      <c r="B1" s="40"/>
      <c r="C1" s="40"/>
      <c r="D1" s="40"/>
      <c r="E1" s="40"/>
      <c r="K1" s="41" t="s">
        <v>100</v>
      </c>
      <c r="L1" s="41"/>
    </row>
    <row r="2" customFormat="false" ht="15" hidden="false" customHeight="false" outlineLevel="0" collapsed="false">
      <c r="A2" s="40"/>
      <c r="B2" s="40"/>
      <c r="C2" s="40"/>
      <c r="D2" s="40"/>
      <c r="E2" s="40"/>
      <c r="K2" s="41"/>
      <c r="L2" s="41"/>
    </row>
    <row r="3" customFormat="false" ht="15" hidden="false" customHeight="false" outlineLevel="0" collapsed="false">
      <c r="A3" s="40"/>
      <c r="B3" s="40"/>
      <c r="C3" s="40"/>
      <c r="D3" s="40"/>
      <c r="E3" s="40"/>
      <c r="K3" s="41"/>
      <c r="L3" s="41"/>
    </row>
    <row r="4" customFormat="false" ht="15" hidden="false" customHeight="false" outlineLevel="0" collapsed="false">
      <c r="A4" s="40"/>
      <c r="B4" s="40"/>
      <c r="C4" s="40"/>
      <c r="D4" s="40"/>
      <c r="E4" s="40"/>
      <c r="K4" s="41"/>
      <c r="L4" s="41"/>
    </row>
    <row r="5" customFormat="false" ht="52.5" hidden="false" customHeight="true" outlineLevel="0" collapsed="false">
      <c r="A5" s="7" t="s">
        <v>101</v>
      </c>
      <c r="B5" s="8" t="s">
        <v>102</v>
      </c>
      <c r="C5" s="8" t="s">
        <v>103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110</v>
      </c>
      <c r="K5" s="8" t="s">
        <v>111</v>
      </c>
      <c r="L5" s="8" t="s">
        <v>112</v>
      </c>
      <c r="M5" s="8" t="s">
        <v>113</v>
      </c>
    </row>
    <row r="6" customFormat="false" ht="31.9" hidden="false" customHeight="true" outlineLevel="0" collapsed="false">
      <c r="A6" s="7" t="s">
        <v>11</v>
      </c>
      <c r="B6" s="8" t="s">
        <v>114</v>
      </c>
      <c r="C6" s="8" t="s">
        <v>115</v>
      </c>
      <c r="D6" s="8" t="s">
        <v>116</v>
      </c>
      <c r="E6" s="8"/>
      <c r="F6" s="8"/>
      <c r="G6" s="8"/>
      <c r="H6" s="8"/>
      <c r="I6" s="8"/>
      <c r="J6" s="8"/>
      <c r="K6" s="8"/>
      <c r="L6" s="8"/>
      <c r="M6" s="8"/>
    </row>
    <row r="7" customFormat="false" ht="31.9" hidden="false" customHeight="true" outlineLevel="0" collapsed="false">
      <c r="A7" s="42" t="s">
        <v>82</v>
      </c>
      <c r="B7" s="8"/>
      <c r="C7" s="8"/>
      <c r="D7" s="43" t="s">
        <v>117</v>
      </c>
      <c r="E7" s="44" t="s">
        <v>118</v>
      </c>
      <c r="F7" s="44" t="s">
        <v>119</v>
      </c>
      <c r="G7" s="44" t="s">
        <v>120</v>
      </c>
      <c r="H7" s="44" t="s">
        <v>121</v>
      </c>
      <c r="I7" s="44" t="s">
        <v>122</v>
      </c>
      <c r="J7" s="44" t="s">
        <v>123</v>
      </c>
      <c r="K7" s="44" t="s">
        <v>124</v>
      </c>
      <c r="L7" s="44" t="s">
        <v>125</v>
      </c>
      <c r="M7" s="44" t="s">
        <v>126</v>
      </c>
    </row>
    <row r="8" customFormat="false" ht="19.9" hidden="false" customHeight="true" outlineLevel="0" collapsed="false">
      <c r="A8" s="45" t="s">
        <v>30</v>
      </c>
      <c r="B8" s="46" t="n">
        <f aca="false">3038.475*(1-TFK!D1)</f>
        <v>1823.085</v>
      </c>
      <c r="C8" s="46" t="n">
        <f aca="false">1399.6125*(1-TFK!D1)</f>
        <v>839.7675</v>
      </c>
      <c r="D8" s="46" t="n">
        <f aca="false">4844.8125*(1-TFK!D1)</f>
        <v>2906.8875</v>
      </c>
      <c r="E8" s="46" t="n">
        <f aca="false">12010.35*(1-TFK!D1)</f>
        <v>7206.21</v>
      </c>
      <c r="F8" s="46" t="n">
        <f aca="false">10311.675*(1-TFK!D1)</f>
        <v>6187.005</v>
      </c>
      <c r="G8" s="46" t="n">
        <f aca="false">12787.9125*(1-TFK!D1)</f>
        <v>7672.7475</v>
      </c>
      <c r="H8" s="46" t="n">
        <f aca="false">9534.1125*(1-TFK!D1)</f>
        <v>5720.4675</v>
      </c>
      <c r="I8" s="46" t="n">
        <f aca="false">11711.2875*(1-TFK!D1)</f>
        <v>7026.7725</v>
      </c>
      <c r="J8" s="46" t="n">
        <f aca="false">7967.025*(1-TFK!D1)</f>
        <v>4780.215</v>
      </c>
      <c r="K8" s="46" t="n">
        <f aca="false">9665.7*(1-TFK!D1)</f>
        <v>5799.42</v>
      </c>
      <c r="L8" s="46" t="n">
        <f aca="false">9845.1375*(1-TFK!D1)</f>
        <v>5907.0825</v>
      </c>
      <c r="M8" s="46" t="n">
        <f aca="false">9988.6875*(1-TFK!D1)</f>
        <v>5993.2125</v>
      </c>
    </row>
    <row r="9" customFormat="false" ht="19.9" hidden="false" customHeight="true" outlineLevel="0" collapsed="false">
      <c r="A9" s="45" t="s">
        <v>31</v>
      </c>
      <c r="B9" s="46" t="n">
        <f aca="false">3385.3875*(1-TFK!D1)</f>
        <v>2031.2325</v>
      </c>
      <c r="C9" s="46" t="n">
        <f aca="false">1591.0125*(1-TFK!D1)</f>
        <v>954.6075</v>
      </c>
      <c r="D9" s="46" t="n">
        <f aca="false">5538.6375*(1-TFK!D1)</f>
        <v>3323.1825</v>
      </c>
      <c r="E9" s="46" t="n">
        <f aca="false">13720.9875*(1-TFK!D1)</f>
        <v>8232.5925</v>
      </c>
      <c r="F9" s="46" t="n">
        <f aca="false">11759.1375*(1-TFK!D1)</f>
        <v>7055.4825</v>
      </c>
      <c r="G9" s="46" t="n">
        <f aca="false">14594.25*(1-TFK!D1)</f>
        <v>8756.55</v>
      </c>
      <c r="H9" s="46" t="n">
        <f aca="false">10849.9875*(1-TFK!D1)</f>
        <v>6509.9925</v>
      </c>
      <c r="I9" s="46" t="n">
        <f aca="false">13350.15*(1-TFK!D1)</f>
        <v>8010.09</v>
      </c>
      <c r="J9" s="46" t="n">
        <f aca="false">9091.5*(1-TFK!D1)</f>
        <v>5454.9</v>
      </c>
      <c r="K9" s="46" t="n">
        <f aca="false">11029.425*(1-TFK!D1)</f>
        <v>6617.655</v>
      </c>
      <c r="L9" s="46" t="n">
        <f aca="false">11220.825*(1-TFK!D1)</f>
        <v>6732.495</v>
      </c>
      <c r="M9" s="46" t="n">
        <f aca="false">11388.3*(1-TFK!D1)</f>
        <v>6832.98</v>
      </c>
    </row>
    <row r="10" customFormat="false" ht="19.9" hidden="false" customHeight="true" outlineLevel="0" collapsed="false">
      <c r="A10" s="45" t="s">
        <v>32</v>
      </c>
      <c r="B10" s="46" t="n">
        <f aca="false">3624.6375*(1-TFK!D1)</f>
        <v>2174.7825</v>
      </c>
      <c r="C10" s="46" t="n">
        <f aca="false">1961.85*(1-TFK!D1)</f>
        <v>1177.11</v>
      </c>
      <c r="D10" s="46" t="n">
        <f aca="false">6830.5875*(1-TFK!D1)</f>
        <v>4098.3525</v>
      </c>
      <c r="E10" s="46" t="n">
        <f aca="false">16926.9375*(1-TFK!D1)</f>
        <v>10156.1625</v>
      </c>
      <c r="F10" s="46" t="n">
        <f aca="false">14797.6125*(1-TFK!D1)</f>
        <v>8878.5675</v>
      </c>
      <c r="G10" s="46" t="n">
        <f aca="false">18027.4875*(1-TFK!D1)</f>
        <v>10816.4925</v>
      </c>
      <c r="H10" s="46" t="n">
        <f aca="false">13409.9625*(1-TFK!D1)</f>
        <v>8045.9775</v>
      </c>
      <c r="I10" s="46" t="n">
        <f aca="false">16472.3625*(1-TFK!D1)</f>
        <v>9883.4175</v>
      </c>
      <c r="J10" s="46" t="n">
        <f aca="false">11220.825*(1-TFK!D1)</f>
        <v>6732.495</v>
      </c>
      <c r="K10" s="46" t="n">
        <f aca="false">13625.2875*(1-TFK!D1)</f>
        <v>8175.1725</v>
      </c>
      <c r="L10" s="46" t="n">
        <f aca="false">13864.5375*(1-TFK!D1)</f>
        <v>8318.7225</v>
      </c>
      <c r="M10" s="46" t="n">
        <f aca="false">14055.9375*(1-TFK!D1)</f>
        <v>8433.5625</v>
      </c>
    </row>
    <row r="11" customFormat="false" ht="19.9" hidden="false" customHeight="true" outlineLevel="0" collapsed="false">
      <c r="A11" s="45" t="s">
        <v>33</v>
      </c>
      <c r="B11" s="46" t="n">
        <f aca="false">4222.7625*(1-TFK!D1)</f>
        <v>2533.6575</v>
      </c>
      <c r="C11" s="46" t="n">
        <f aca="false">2153.25*(1-TFK!D1)</f>
        <v>1291.95</v>
      </c>
      <c r="D11" s="46" t="n">
        <f aca="false">7560.3*(1-TFK!D1)</f>
        <v>4536.18</v>
      </c>
      <c r="E11" s="46" t="n">
        <f aca="false">18793.0875*(1-TFK!D1)</f>
        <v>11275.8525</v>
      </c>
      <c r="F11" s="46" t="n">
        <f aca="false">16125.45*(1-TFK!D1)</f>
        <v>9675.27</v>
      </c>
      <c r="G11" s="46" t="n">
        <f aca="false">20025.225*(1-TFK!D1)</f>
        <v>12015.135</v>
      </c>
      <c r="H11" s="46" t="n">
        <f aca="false">14905.275*(1-TFK!D1)</f>
        <v>8943.165</v>
      </c>
      <c r="I11" s="46" t="n">
        <f aca="false">18326.55*(1-TFK!D1)</f>
        <v>10995.93</v>
      </c>
      <c r="J11" s="46" t="n">
        <f aca="false">12464.925*(1-TFK!D1)</f>
        <v>7478.955</v>
      </c>
      <c r="K11" s="46" t="n">
        <f aca="false">15156.4875*(1-TFK!D1)</f>
        <v>9093.8925</v>
      </c>
      <c r="L11" s="46" t="n">
        <f aca="false">15395.7375*(1-TFK!D1)</f>
        <v>9237.4425</v>
      </c>
      <c r="M11" s="46" t="n">
        <f aca="false">15634.9875*(1-TFK!D1)</f>
        <v>9380.9925</v>
      </c>
    </row>
    <row r="12" customFormat="false" ht="19.9" hidden="false" customHeight="true" outlineLevel="0" collapsed="false">
      <c r="A12" s="45" t="s">
        <v>34</v>
      </c>
      <c r="B12" s="47" t="n">
        <f aca="false">4808.925*(1-TFK!D1)</f>
        <v>2885.355</v>
      </c>
      <c r="C12" s="47" t="n">
        <f aca="false">2416.425*(1-TFK!D1)</f>
        <v>1449.855</v>
      </c>
      <c r="D12" s="47" t="n">
        <f aca="false">8421.6*(1-TFK!D1)</f>
        <v>5052.96</v>
      </c>
      <c r="E12" s="47" t="n">
        <f aca="false">20886.525*(1-TFK!D1)</f>
        <v>12531.915</v>
      </c>
      <c r="F12" s="47" t="n">
        <f aca="false">17919.825*(1-TFK!D1)</f>
        <v>10751.895</v>
      </c>
      <c r="G12" s="47" t="n">
        <f aca="false">22238.2875*(1-TFK!D1)</f>
        <v>13342.9725</v>
      </c>
      <c r="H12" s="47" t="n">
        <f aca="false">16556.1*(1-TFK!D1)</f>
        <v>9933.66</v>
      </c>
      <c r="I12" s="47" t="n">
        <f aca="false">20348.2125*(1-TFK!D1)</f>
        <v>12208.9275</v>
      </c>
      <c r="J12" s="47" t="n">
        <f aca="false">13840.6125*(1-TFK!D1)</f>
        <v>8304.3675</v>
      </c>
      <c r="K12" s="47" t="n">
        <f aca="false">16819.275*(1-TFK!D1)</f>
        <v>10091.565</v>
      </c>
      <c r="L12" s="47" t="n">
        <f aca="false">17094.4125*(1-TFK!D1)</f>
        <v>10256.6475</v>
      </c>
      <c r="M12" s="47" t="n">
        <f aca="false">17357.5875*(1-TFK!D1)</f>
        <v>10414.5525</v>
      </c>
    </row>
    <row r="13" customFormat="false" ht="19.9" hidden="false" customHeight="true" outlineLevel="0" collapsed="false">
      <c r="A13" s="45" t="s">
        <v>35</v>
      </c>
      <c r="B13" s="46" t="n">
        <f aca="false">5430.975*(1-TFK!D1)</f>
        <v>3258.585</v>
      </c>
      <c r="C13" s="46" t="n">
        <f aca="false">2751.375*(1-TFK!D1)</f>
        <v>1650.825</v>
      </c>
      <c r="D13" s="46" t="n">
        <f aca="false">9605.8875*(1-TFK!D1)</f>
        <v>5763.5325</v>
      </c>
      <c r="E13" s="46" t="n">
        <f aca="false">23817.3375*(1-TFK!D1)</f>
        <v>14290.4025</v>
      </c>
      <c r="F13" s="46" t="n">
        <f aca="false">20431.95*(1-TFK!D1)</f>
        <v>12259.17</v>
      </c>
      <c r="G13" s="46" t="n">
        <f aca="false">25360.5*(1-TFK!D1)</f>
        <v>15216.3</v>
      </c>
      <c r="H13" s="46" t="n">
        <f aca="false">18864.8625*(1-TFK!D1)</f>
        <v>11318.9175</v>
      </c>
      <c r="I13" s="46" t="n">
        <f aca="false">23195.2875*(1-TFK!D1)</f>
        <v>13917.1725</v>
      </c>
      <c r="J13" s="46" t="n">
        <f aca="false">15778.5375*(1-TFK!D1)</f>
        <v>9467.1225</v>
      </c>
      <c r="K13" s="46" t="n">
        <f aca="false">19187.85*(1-TFK!D1)</f>
        <v>11512.71</v>
      </c>
      <c r="L13" s="46" t="n">
        <f aca="false">19486.9125*(1-TFK!D1)</f>
        <v>11692.1475</v>
      </c>
      <c r="M13" s="46" t="n">
        <f aca="false">19809.9*(1-TFK!D1)</f>
        <v>11885.94</v>
      </c>
    </row>
    <row r="14" customFormat="false" ht="15" hidden="false" customHeight="false" outlineLevel="0" collapsed="false">
      <c r="E14" s="22"/>
      <c r="F14" s="22"/>
      <c r="G14" s="22"/>
      <c r="H14" s="22"/>
      <c r="I14" s="22"/>
      <c r="J14" s="22"/>
      <c r="K14" s="22"/>
      <c r="L14" s="22"/>
      <c r="M14" s="2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E4"/>
    <mergeCell ref="K1:L4"/>
    <mergeCell ref="B6:B7"/>
    <mergeCell ref="C6:C7"/>
    <mergeCell ref="D6:M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FFE"/>
    <pageSetUpPr fitToPage="true"/>
  </sheetPr>
  <dimension ref="A1:H54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19" activeCellId="0" sqref="G19"/>
    </sheetView>
  </sheetViews>
  <sheetFormatPr defaultColWidth="11.2109375" defaultRowHeight="15" zeroHeight="false" outlineLevelRow="0" outlineLevelCol="0"/>
  <cols>
    <col collapsed="false" customWidth="true" hidden="false" outlineLevel="0" max="4" min="4" style="0" width="30.55"/>
    <col collapsed="false" customWidth="true" hidden="false" outlineLevel="0" max="5" min="5" style="0" width="12.14"/>
  </cols>
  <sheetData>
    <row r="1" customFormat="false" ht="13.8" hidden="false" customHeight="false" outlineLevel="0" collapsed="false"/>
    <row r="2" customFormat="false" ht="13.9" hidden="false" customHeight="true" outlineLevel="0" collapsed="false"/>
    <row r="3" customFormat="false" ht="23.25" hidden="false" customHeight="true" outlineLevel="0" collapsed="false">
      <c r="A3" s="48" t="s">
        <v>127</v>
      </c>
      <c r="B3" s="11" t="s">
        <v>128</v>
      </c>
      <c r="C3" s="11"/>
      <c r="D3" s="10" t="s">
        <v>129</v>
      </c>
    </row>
    <row r="4" customFormat="false" ht="13.8" hidden="false" customHeight="false" outlineLevel="0" collapsed="false">
      <c r="A4" s="48"/>
      <c r="B4" s="11" t="s">
        <v>11</v>
      </c>
      <c r="C4" s="11"/>
      <c r="D4" s="11" t="s">
        <v>130</v>
      </c>
    </row>
    <row r="5" customFormat="false" ht="13.8" hidden="false" customHeight="false" outlineLevel="0" collapsed="false">
      <c r="A5" s="48"/>
      <c r="B5" s="11" t="s">
        <v>82</v>
      </c>
      <c r="C5" s="11"/>
      <c r="D5" s="11" t="s">
        <v>131</v>
      </c>
    </row>
    <row r="6" customFormat="false" ht="13.8" hidden="false" customHeight="false" outlineLevel="0" collapsed="false">
      <c r="A6" s="48"/>
      <c r="B6" s="49" t="s">
        <v>25</v>
      </c>
      <c r="C6" s="49"/>
      <c r="D6" s="49" t="s">
        <v>132</v>
      </c>
    </row>
    <row r="7" customFormat="false" ht="26.25" hidden="false" customHeight="true" outlineLevel="0" collapsed="false">
      <c r="A7" s="48"/>
      <c r="B7" s="49" t="s">
        <v>23</v>
      </c>
      <c r="C7" s="49"/>
      <c r="D7" s="50" t="s">
        <v>133</v>
      </c>
    </row>
    <row r="8" customFormat="false" ht="19.25" hidden="false" customHeight="true" outlineLevel="0" collapsed="false">
      <c r="A8" s="51" t="s">
        <v>134</v>
      </c>
      <c r="B8" s="51"/>
      <c r="C8" s="51"/>
      <c r="D8" s="52" t="n">
        <f aca="false">8990.058*(1-TFK!D1)</f>
        <v>5394.0348</v>
      </c>
    </row>
    <row r="9" customFormat="false" ht="18.65" hidden="false" customHeight="true" outlineLevel="0" collapsed="false">
      <c r="A9" s="53" t="s">
        <v>135</v>
      </c>
      <c r="B9" s="53"/>
      <c r="C9" s="53"/>
      <c r="D9" s="52" t="n">
        <f aca="false">10210.233*(1-TFK!D1)</f>
        <v>6126.1398</v>
      </c>
    </row>
    <row r="10" customFormat="false" ht="13.8" hidden="false" customHeight="false" outlineLevel="0" collapsed="false">
      <c r="A10" s="29" t="s">
        <v>32</v>
      </c>
      <c r="B10" s="29"/>
      <c r="C10" s="29"/>
      <c r="D10" s="54" t="n">
        <f aca="false">12498.42*(1-TFK!D1)</f>
        <v>7499.052</v>
      </c>
    </row>
    <row r="11" customFormat="false" ht="13.8" hidden="false" customHeight="false" outlineLevel="0" collapsed="false">
      <c r="A11" s="29" t="s">
        <v>33</v>
      </c>
      <c r="B11" s="29"/>
      <c r="C11" s="29"/>
      <c r="D11" s="54" t="n">
        <f aca="false">13886.07*(1-TFK!D1)</f>
        <v>8331.642</v>
      </c>
    </row>
    <row r="12" customFormat="false" ht="13.9" hidden="false" customHeight="true" outlineLevel="0" collapsed="false">
      <c r="A12" s="29" t="s">
        <v>34</v>
      </c>
      <c r="B12" s="29"/>
      <c r="C12" s="29"/>
      <c r="D12" s="54" t="n">
        <f aca="false">15436.41*(1-TFK!D1)</f>
        <v>9261.846</v>
      </c>
    </row>
    <row r="13" customFormat="false" ht="18.05" hidden="false" customHeight="true" outlineLevel="0" collapsed="false">
      <c r="A13" s="29" t="s">
        <v>35</v>
      </c>
      <c r="B13" s="29"/>
      <c r="C13" s="29"/>
      <c r="D13" s="54" t="n">
        <f aca="false">17599.23*(1-TFK!D1)</f>
        <v>10559.538</v>
      </c>
    </row>
    <row r="14" customFormat="false" ht="29.25" hidden="false" customHeight="true" outlineLevel="0" collapsed="false">
      <c r="D14" s="22"/>
    </row>
    <row r="15" customFormat="false" ht="13.8" hidden="false" customHeight="false" outlineLevel="0" collapsed="false">
      <c r="D15" s="22"/>
    </row>
    <row r="16" customFormat="false" ht="15" hidden="false" customHeight="true" outlineLevel="0" collapsed="false">
      <c r="A16" s="48" t="s">
        <v>127</v>
      </c>
      <c r="B16" s="11" t="s">
        <v>128</v>
      </c>
      <c r="C16" s="11"/>
      <c r="D16" s="10" t="s">
        <v>136</v>
      </c>
    </row>
    <row r="17" customFormat="false" ht="13.8" hidden="false" customHeight="true" outlineLevel="0" collapsed="false">
      <c r="A17" s="48"/>
      <c r="B17" s="11" t="s">
        <v>11</v>
      </c>
      <c r="C17" s="11"/>
      <c r="D17" s="10" t="s">
        <v>137</v>
      </c>
    </row>
    <row r="18" customFormat="false" ht="22.85" hidden="false" customHeight="true" outlineLevel="0" collapsed="false">
      <c r="A18" s="48"/>
      <c r="B18" s="11" t="s">
        <v>82</v>
      </c>
      <c r="C18" s="11"/>
      <c r="D18" s="10"/>
    </row>
    <row r="19" customFormat="false" ht="13.8" hidden="false" customHeight="true" outlineLevel="0" collapsed="false">
      <c r="A19" s="55" t="s">
        <v>138</v>
      </c>
      <c r="B19" s="55"/>
      <c r="C19" s="55"/>
      <c r="D19" s="52" t="n">
        <f aca="false">2368.575*(1-TFK!D1)</f>
        <v>1421.145</v>
      </c>
    </row>
    <row r="20" customFormat="false" ht="13.8" hidden="false" customHeight="false" outlineLevel="0" collapsed="false">
      <c r="A20" s="56" t="s">
        <v>139</v>
      </c>
      <c r="B20" s="56"/>
      <c r="C20" s="56"/>
      <c r="D20" s="52" t="n">
        <f aca="false">2583.9*(1-TFK!D1)</f>
        <v>1550.34</v>
      </c>
    </row>
    <row r="21" customFormat="false" ht="13.8" hidden="false" customHeight="true" outlineLevel="0" collapsed="false">
      <c r="A21" s="55" t="s">
        <v>140</v>
      </c>
      <c r="B21" s="55"/>
      <c r="C21" s="55"/>
      <c r="D21" s="52" t="n">
        <f aca="false">2931.291*(1-TFK!D1)</f>
        <v>1758.7746</v>
      </c>
    </row>
    <row r="22" customFormat="false" ht="13.8" hidden="false" customHeight="false" outlineLevel="0" collapsed="false">
      <c r="A22" s="56" t="s">
        <v>141</v>
      </c>
      <c r="B22" s="56"/>
      <c r="C22" s="56"/>
      <c r="D22" s="52" t="n">
        <f aca="false">3098.766*(1-TFK!D1)</f>
        <v>1859.2596</v>
      </c>
    </row>
    <row r="23" customFormat="false" ht="13.8" hidden="false" customHeight="true" outlineLevel="0" collapsed="false">
      <c r="A23" s="55" t="s">
        <v>142</v>
      </c>
      <c r="B23" s="55"/>
      <c r="C23" s="55"/>
      <c r="D23" s="57" t="n">
        <f aca="false">3229.875*(1-TFK!D1)</f>
        <v>1937.925</v>
      </c>
    </row>
    <row r="24" customFormat="false" ht="13.8" hidden="false" customHeight="false" outlineLevel="0" collapsed="false">
      <c r="A24" s="56" t="s">
        <v>143</v>
      </c>
      <c r="B24" s="56"/>
      <c r="C24" s="56"/>
      <c r="D24" s="52" t="n">
        <f aca="false">3445.2*(1-TFK!D1)</f>
        <v>2067.12</v>
      </c>
    </row>
    <row r="25" customFormat="false" ht="15" hidden="false" customHeight="false" outlineLevel="0" collapsed="false">
      <c r="A25" s="58" t="s">
        <v>144</v>
      </c>
      <c r="B25" s="58"/>
      <c r="C25" s="58"/>
      <c r="D25" s="58"/>
      <c r="E25" s="58"/>
      <c r="F25" s="58"/>
      <c r="G25" s="58"/>
      <c r="H25" s="58"/>
    </row>
    <row r="26" customFormat="false" ht="15" hidden="false" customHeight="false" outlineLevel="0" collapsed="false">
      <c r="A26" s="58" t="s">
        <v>145</v>
      </c>
      <c r="B26" s="58"/>
      <c r="C26" s="58"/>
      <c r="D26" s="58"/>
      <c r="E26" s="58"/>
      <c r="F26" s="58"/>
      <c r="G26" s="58"/>
      <c r="H26" s="58"/>
    </row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true" outlineLevel="0" collapsed="false">
      <c r="A29" s="48" t="s">
        <v>127</v>
      </c>
      <c r="B29" s="7" t="s">
        <v>128</v>
      </c>
      <c r="C29" s="7"/>
      <c r="D29" s="7" t="s">
        <v>146</v>
      </c>
    </row>
    <row r="30" customFormat="false" ht="13.8" hidden="false" customHeight="false" outlineLevel="0" collapsed="false">
      <c r="A30" s="48"/>
      <c r="B30" s="7" t="s">
        <v>11</v>
      </c>
      <c r="C30" s="7"/>
      <c r="D30" s="7" t="s">
        <v>116</v>
      </c>
    </row>
    <row r="31" customFormat="false" ht="13.8" hidden="false" customHeight="false" outlineLevel="0" collapsed="false">
      <c r="A31" s="48"/>
      <c r="B31" s="7" t="s">
        <v>82</v>
      </c>
      <c r="C31" s="7"/>
      <c r="D31" s="7" t="s">
        <v>147</v>
      </c>
    </row>
    <row r="32" customFormat="false" ht="13.8" hidden="false" customHeight="false" outlineLevel="0" collapsed="false">
      <c r="A32" s="48"/>
      <c r="B32" s="59" t="s">
        <v>25</v>
      </c>
      <c r="C32" s="59"/>
      <c r="D32" s="59" t="s">
        <v>148</v>
      </c>
    </row>
    <row r="33" customFormat="false" ht="13.8" hidden="false" customHeight="false" outlineLevel="0" collapsed="false">
      <c r="A33" s="48"/>
      <c r="B33" s="59" t="s">
        <v>23</v>
      </c>
      <c r="C33" s="59"/>
      <c r="D33" s="59" t="s">
        <v>133</v>
      </c>
    </row>
    <row r="34" customFormat="false" ht="13.8" hidden="false" customHeight="false" outlineLevel="0" collapsed="false">
      <c r="A34" s="29" t="s">
        <v>30</v>
      </c>
      <c r="B34" s="29"/>
      <c r="C34" s="29"/>
      <c r="D34" s="46" t="n">
        <f aca="false">6545.88*(1-TFK!D1)</f>
        <v>3927.528</v>
      </c>
    </row>
    <row r="35" customFormat="false" ht="13.8" hidden="false" customHeight="false" outlineLevel="0" collapsed="false">
      <c r="A35" s="29" t="s">
        <v>31</v>
      </c>
      <c r="B35" s="29"/>
      <c r="C35" s="29"/>
      <c r="D35" s="46" t="n">
        <f aca="false">7458.858*(1-TFK!D1)</f>
        <v>4475.3148</v>
      </c>
    </row>
    <row r="36" customFormat="false" ht="13.8" hidden="false" customHeight="false" outlineLevel="0" collapsed="false">
      <c r="A36" s="29" t="s">
        <v>32</v>
      </c>
      <c r="B36" s="29"/>
      <c r="C36" s="29"/>
      <c r="D36" s="60" t="n">
        <f aca="false">9215.91*(1-TFK!D1)</f>
        <v>5529.546</v>
      </c>
    </row>
    <row r="37" customFormat="false" ht="13.8" hidden="false" customHeight="false" outlineLevel="0" collapsed="false">
      <c r="A37" s="29" t="s">
        <v>33</v>
      </c>
      <c r="B37" s="29"/>
      <c r="C37" s="29"/>
      <c r="D37" s="60" t="n">
        <f aca="false">10232.244*(1-TFK!D1)</f>
        <v>6139.3464</v>
      </c>
    </row>
    <row r="38" customFormat="false" ht="13.8" hidden="false" customHeight="false" outlineLevel="0" collapsed="false">
      <c r="A38" s="61" t="s">
        <v>34</v>
      </c>
      <c r="B38" s="61"/>
      <c r="C38" s="61"/>
      <c r="D38" s="60" t="n">
        <f aca="false">11369.16*(1-TFK!D1)</f>
        <v>6821.496</v>
      </c>
    </row>
    <row r="39" customFormat="false" ht="13.8" hidden="false" customHeight="false" outlineLevel="0" collapsed="false">
      <c r="A39" s="29" t="s">
        <v>35</v>
      </c>
      <c r="B39" s="29"/>
      <c r="C39" s="29"/>
      <c r="D39" s="60" t="n">
        <f aca="false">12971.178*(1-TFK!D1)</f>
        <v>7782.7068</v>
      </c>
    </row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true" outlineLevel="0" collapsed="false">
      <c r="A43" s="48" t="s">
        <v>127</v>
      </c>
      <c r="B43" s="7" t="s">
        <v>128</v>
      </c>
      <c r="C43" s="7"/>
      <c r="D43" s="7" t="s">
        <v>149</v>
      </c>
    </row>
    <row r="44" customFormat="false" ht="13.8" hidden="false" customHeight="false" outlineLevel="0" collapsed="false">
      <c r="A44" s="48"/>
      <c r="B44" s="7" t="s">
        <v>11</v>
      </c>
      <c r="C44" s="7"/>
      <c r="D44" s="7" t="s">
        <v>150</v>
      </c>
    </row>
    <row r="45" customFormat="false" ht="13.8" hidden="false" customHeight="false" outlineLevel="0" collapsed="false">
      <c r="A45" s="48"/>
      <c r="B45" s="7" t="s">
        <v>82</v>
      </c>
      <c r="C45" s="7"/>
      <c r="D45" s="7" t="s">
        <v>151</v>
      </c>
    </row>
    <row r="46" customFormat="false" ht="13.8" hidden="false" customHeight="false" outlineLevel="0" collapsed="false">
      <c r="A46" s="48"/>
      <c r="B46" s="59" t="s">
        <v>152</v>
      </c>
      <c r="C46" s="59"/>
      <c r="D46" s="59" t="s">
        <v>153</v>
      </c>
    </row>
    <row r="47" customFormat="false" ht="13.8" hidden="false" customHeight="false" outlineLevel="0" collapsed="false">
      <c r="A47" s="48"/>
      <c r="B47" s="59" t="s">
        <v>25</v>
      </c>
      <c r="C47" s="59"/>
      <c r="D47" s="59" t="s">
        <v>154</v>
      </c>
    </row>
    <row r="48" customFormat="false" ht="13.8" hidden="false" customHeight="false" outlineLevel="0" collapsed="false">
      <c r="B48" s="45" t="s">
        <v>30</v>
      </c>
      <c r="C48" s="45"/>
      <c r="D48" s="46" t="n">
        <f aca="false">12678.336*(1-TFK!D1)</f>
        <v>7607.0016</v>
      </c>
    </row>
    <row r="49" customFormat="false" ht="13.8" hidden="false" customHeight="false" outlineLevel="0" collapsed="false">
      <c r="B49" s="45" t="s">
        <v>31</v>
      </c>
      <c r="C49" s="45"/>
      <c r="D49" s="46" t="n">
        <f aca="false">14469.84*(1-TFK!D1)</f>
        <v>8681.904</v>
      </c>
    </row>
    <row r="50" customFormat="false" ht="13.8" hidden="false" customHeight="false" outlineLevel="0" collapsed="false">
      <c r="B50" s="45" t="s">
        <v>32</v>
      </c>
      <c r="C50" s="45"/>
      <c r="D50" s="60" t="n">
        <f aca="false">17863.362*(1-TFK!D1)</f>
        <v>10718.0172</v>
      </c>
    </row>
    <row r="51" customFormat="false" ht="13.8" hidden="false" customHeight="false" outlineLevel="0" collapsed="false">
      <c r="B51" s="45" t="s">
        <v>33</v>
      </c>
      <c r="C51" s="45"/>
      <c r="D51" s="60" t="n">
        <f aca="false">19844.352*(1-TFK!D1)</f>
        <v>11906.6112</v>
      </c>
    </row>
    <row r="52" customFormat="false" ht="13.8" hidden="false" customHeight="false" outlineLevel="0" collapsed="false">
      <c r="B52" s="45" t="s">
        <v>34</v>
      </c>
      <c r="C52" s="45"/>
      <c r="D52" s="60" t="n">
        <f aca="false">22049.28*(1-TFK!D1)</f>
        <v>13229.568</v>
      </c>
    </row>
    <row r="53" customFormat="false" ht="13.8" hidden="false" customHeight="false" outlineLevel="0" collapsed="false">
      <c r="B53" s="45" t="s">
        <v>35</v>
      </c>
      <c r="C53" s="45"/>
      <c r="D53" s="60" t="n">
        <f aca="false">25149.96*(1-TFK!D1)</f>
        <v>15089.976</v>
      </c>
    </row>
    <row r="54" customFormat="false" ht="13.8" hidden="false" customHeight="false" outlineLevel="0" collapsed="false"/>
  </sheetData>
  <mergeCells count="47">
    <mergeCell ref="A3:A7"/>
    <mergeCell ref="B3:C3"/>
    <mergeCell ref="B4:C4"/>
    <mergeCell ref="B5:C5"/>
    <mergeCell ref="B6:C6"/>
    <mergeCell ref="B7:C7"/>
    <mergeCell ref="A8:C8"/>
    <mergeCell ref="A9:C9"/>
    <mergeCell ref="A10:C10"/>
    <mergeCell ref="A11:C11"/>
    <mergeCell ref="A12:C12"/>
    <mergeCell ref="A13:C13"/>
    <mergeCell ref="A16:A18"/>
    <mergeCell ref="B16:C16"/>
    <mergeCell ref="B17:C17"/>
    <mergeCell ref="D17:D18"/>
    <mergeCell ref="B18:C18"/>
    <mergeCell ref="A19:C19"/>
    <mergeCell ref="A20:C20"/>
    <mergeCell ref="A21:C21"/>
    <mergeCell ref="A22:C22"/>
    <mergeCell ref="A23:C23"/>
    <mergeCell ref="A24:C24"/>
    <mergeCell ref="A29:A33"/>
    <mergeCell ref="B29:C29"/>
    <mergeCell ref="B30:C30"/>
    <mergeCell ref="B31:C31"/>
    <mergeCell ref="B32:C32"/>
    <mergeCell ref="B33:C33"/>
    <mergeCell ref="A34:C34"/>
    <mergeCell ref="A35:C35"/>
    <mergeCell ref="A36:C36"/>
    <mergeCell ref="A37:C37"/>
    <mergeCell ref="A38:C38"/>
    <mergeCell ref="A39:C39"/>
    <mergeCell ref="A43:A47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007F"/>
    <pageSetUpPr fitToPage="true"/>
  </sheetPr>
  <dimension ref="A1:F2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9" activeCellId="0" sqref="C9"/>
    </sheetView>
  </sheetViews>
  <sheetFormatPr defaultColWidth="9.00390625" defaultRowHeight="12.8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26.13"/>
    <col collapsed="false" customWidth="true" hidden="false" outlineLevel="0" max="5" min="4" style="0" width="27.19"/>
    <col collapsed="false" customWidth="true" hidden="false" outlineLevel="0" max="6" min="6" style="0" width="24.41"/>
  </cols>
  <sheetData>
    <row r="1" customFormat="false" ht="15" hidden="false" customHeight="false" outlineLevel="0" collapsed="false">
      <c r="A1" s="62" t="s">
        <v>155</v>
      </c>
    </row>
    <row r="2" customFormat="false" ht="13.8" hidden="false" customHeight="false" outlineLevel="0" collapsed="false"/>
    <row r="3" customFormat="false" ht="13.8" hidden="false" customHeight="false" outlineLevel="0" collapsed="false">
      <c r="A3" s="7" t="s">
        <v>128</v>
      </c>
      <c r="B3" s="7"/>
      <c r="C3" s="7" t="s">
        <v>156</v>
      </c>
      <c r="D3" s="7" t="s">
        <v>157</v>
      </c>
      <c r="E3" s="7" t="s">
        <v>158</v>
      </c>
    </row>
    <row r="4" customFormat="false" ht="13.8" hidden="false" customHeight="false" outlineLevel="0" collapsed="false">
      <c r="A4" s="7" t="s">
        <v>11</v>
      </c>
      <c r="B4" s="7"/>
      <c r="C4" s="7" t="s">
        <v>159</v>
      </c>
      <c r="D4" s="7"/>
      <c r="E4" s="7"/>
    </row>
    <row r="5" customFormat="false" ht="46.85" hidden="false" customHeight="false" outlineLevel="0" collapsed="false">
      <c r="A5" s="7" t="s">
        <v>82</v>
      </c>
      <c r="B5" s="7"/>
      <c r="C5" s="8" t="s">
        <v>160</v>
      </c>
      <c r="D5" s="8" t="s">
        <v>161</v>
      </c>
      <c r="E5" s="8" t="s">
        <v>162</v>
      </c>
    </row>
    <row r="6" customFormat="false" ht="13.8" hidden="false" customHeight="false" outlineLevel="0" collapsed="false">
      <c r="A6" s="59" t="s">
        <v>152</v>
      </c>
      <c r="B6" s="59"/>
      <c r="C6" s="59" t="s">
        <v>163</v>
      </c>
      <c r="D6" s="59" t="s">
        <v>163</v>
      </c>
      <c r="E6" s="59" t="s">
        <v>163</v>
      </c>
    </row>
    <row r="7" customFormat="false" ht="13.8" hidden="false" customHeight="false" outlineLevel="0" collapsed="false">
      <c r="A7" s="59" t="s">
        <v>25</v>
      </c>
      <c r="B7" s="59"/>
      <c r="C7" s="59" t="s">
        <v>26</v>
      </c>
      <c r="D7" s="59" t="s">
        <v>27</v>
      </c>
      <c r="E7" s="59" t="s">
        <v>28</v>
      </c>
    </row>
    <row r="8" customFormat="false" ht="13.8" hidden="false" customHeight="false" outlineLevel="0" collapsed="false">
      <c r="A8" s="63" t="s">
        <v>30</v>
      </c>
      <c r="B8" s="63"/>
      <c r="C8" s="46" t="n">
        <f aca="false">9576*(1-TFK!D1)</f>
        <v>5745.6</v>
      </c>
      <c r="D8" s="46" t="n">
        <f aca="false">11196*(1-TFK!D1)</f>
        <v>6717.6</v>
      </c>
      <c r="E8" s="46" t="n">
        <f aca="false">13032*(1-TFK!D1)</f>
        <v>7819.2</v>
      </c>
    </row>
    <row r="9" customFormat="false" ht="13.8" hidden="false" customHeight="false" outlineLevel="0" collapsed="false">
      <c r="A9" s="63" t="s">
        <v>31</v>
      </c>
      <c r="B9" s="63"/>
      <c r="C9" s="46" t="n">
        <f aca="false">10926*(1-TFK!D1)</f>
        <v>6555.6</v>
      </c>
      <c r="D9" s="46" t="n">
        <f aca="false">12762*(1-TFK!D1)</f>
        <v>7657.2</v>
      </c>
      <c r="E9" s="46" t="n">
        <f aca="false">14994*(1-TFK!D1)</f>
        <v>8996.4</v>
      </c>
    </row>
    <row r="10" customFormat="false" ht="13.8" hidden="false" customHeight="false" outlineLevel="0" collapsed="false">
      <c r="A10" s="63" t="s">
        <v>32</v>
      </c>
      <c r="B10" s="63"/>
      <c r="C10" s="60" t="n">
        <f aca="false">13500*(1-TFK!D1)</f>
        <v>8100</v>
      </c>
      <c r="D10" s="60" t="n">
        <f aca="false">15894*(1-TFK!D1)</f>
        <v>9536.4</v>
      </c>
      <c r="E10" s="60" t="n">
        <f aca="false">18522*(1-TFK!D1)</f>
        <v>11113.2</v>
      </c>
    </row>
    <row r="11" customFormat="false" ht="13.8" hidden="false" customHeight="false" outlineLevel="0" collapsed="false">
      <c r="A11" s="63" t="s">
        <v>33</v>
      </c>
      <c r="B11" s="63"/>
      <c r="C11" s="60" t="n">
        <f aca="false">14994*(1-TFK!D1)</f>
        <v>8996.4</v>
      </c>
      <c r="D11" s="60" t="n">
        <f aca="false">17658*(1-TFK!D1)</f>
        <v>10594.8</v>
      </c>
      <c r="E11" s="60" t="n">
        <f aca="false">20574*(1-TFK!D1)</f>
        <v>12344.4</v>
      </c>
    </row>
    <row r="12" customFormat="false" ht="13.8" hidden="false" customHeight="false" outlineLevel="0" collapsed="false">
      <c r="A12" s="63" t="s">
        <v>34</v>
      </c>
      <c r="B12" s="63"/>
      <c r="C12" s="64" t="n">
        <f aca="false">16650*(1-TFK!D1)</f>
        <v>9990</v>
      </c>
      <c r="D12" s="64" t="n">
        <f aca="false">19620*(1-TFK!D1)</f>
        <v>11772</v>
      </c>
      <c r="E12" s="64" t="n">
        <f aca="false">22860*(1-TFK!D1)</f>
        <v>13716</v>
      </c>
    </row>
    <row r="13" customFormat="false" ht="13.8" hidden="false" customHeight="false" outlineLevel="0" collapsed="false">
      <c r="A13" s="63" t="s">
        <v>35</v>
      </c>
      <c r="B13" s="63"/>
      <c r="C13" s="60" t="n">
        <f aca="false">18990*(1-TFK!D1)</f>
        <v>11394</v>
      </c>
      <c r="D13" s="60" t="n">
        <f aca="false">22374*(1-TFK!D1)</f>
        <v>13424.4</v>
      </c>
      <c r="E13" s="60" t="n">
        <f aca="false">26064*(1-TFK!D1)</f>
        <v>15638.4</v>
      </c>
    </row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24.05" hidden="false" customHeight="false" outlineLevel="0" collapsed="false">
      <c r="A18" s="7" t="s">
        <v>2</v>
      </c>
      <c r="B18" s="7"/>
      <c r="C18" s="8" t="s">
        <v>164</v>
      </c>
      <c r="D18" s="8" t="s">
        <v>165</v>
      </c>
      <c r="E18" s="8" t="s">
        <v>166</v>
      </c>
      <c r="F18" s="8" t="s">
        <v>167</v>
      </c>
    </row>
    <row r="19" customFormat="false" ht="13.8" hidden="false" customHeight="true" outlineLevel="0" collapsed="false">
      <c r="A19" s="7" t="s">
        <v>11</v>
      </c>
      <c r="B19" s="7"/>
      <c r="C19" s="27" t="s">
        <v>168</v>
      </c>
      <c r="D19" s="27"/>
      <c r="E19" s="27"/>
      <c r="F19" s="27"/>
    </row>
    <row r="20" customFormat="false" ht="46.85" hidden="false" customHeight="false" outlineLevel="0" collapsed="false">
      <c r="A20" s="7" t="s">
        <v>82</v>
      </c>
      <c r="B20" s="7"/>
      <c r="C20" s="8" t="s">
        <v>169</v>
      </c>
      <c r="D20" s="8" t="s">
        <v>170</v>
      </c>
      <c r="E20" s="8" t="s">
        <v>169</v>
      </c>
      <c r="F20" s="8" t="s">
        <v>171</v>
      </c>
    </row>
    <row r="21" customFormat="false" ht="13.8" hidden="false" customHeight="false" outlineLevel="0" collapsed="false">
      <c r="A21" s="7" t="s">
        <v>23</v>
      </c>
      <c r="B21" s="7"/>
      <c r="C21" s="42" t="s">
        <v>172</v>
      </c>
      <c r="D21" s="42"/>
      <c r="E21" s="42" t="s">
        <v>173</v>
      </c>
      <c r="F21" s="42"/>
    </row>
    <row r="22" customFormat="false" ht="13.8" hidden="false" customHeight="false" outlineLevel="0" collapsed="false">
      <c r="A22" s="7" t="s">
        <v>25</v>
      </c>
      <c r="B22" s="7"/>
      <c r="C22" s="65" t="s">
        <v>174</v>
      </c>
      <c r="D22" s="65" t="s">
        <v>154</v>
      </c>
      <c r="E22" s="65" t="s">
        <v>154</v>
      </c>
      <c r="F22" s="65" t="s">
        <v>154</v>
      </c>
    </row>
    <row r="23" customFormat="false" ht="13.8" hidden="false" customHeight="false" outlineLevel="0" collapsed="false">
      <c r="A23" s="66" t="s">
        <v>30</v>
      </c>
      <c r="B23" s="66"/>
      <c r="C23" s="67" t="n">
        <f aca="false">12506.79375*(1-TFK!D1)</f>
        <v>7504.07625</v>
      </c>
      <c r="D23" s="67" t="n">
        <f aca="false">14462.6625*(1-TFK!D1)</f>
        <v>8677.5975</v>
      </c>
      <c r="E23" s="67" t="n">
        <f aca="false">13804.725*(1-TFK!D1)</f>
        <v>8282.835</v>
      </c>
      <c r="F23" s="67" t="n">
        <f aca="false">15790.5*(1-TFK!D1)</f>
        <v>9474.3</v>
      </c>
    </row>
    <row r="24" customFormat="false" ht="13.8" hidden="false" customHeight="false" outlineLevel="0" collapsed="false">
      <c r="A24" s="66" t="s">
        <v>31</v>
      </c>
      <c r="B24" s="66"/>
      <c r="C24" s="68" t="n">
        <f aca="false">14259.3*(1-TFK!D1)</f>
        <v>8555.58</v>
      </c>
      <c r="D24" s="68" t="n">
        <f aca="false">16490.30625*(1-TFK!D1)</f>
        <v>9894.18375</v>
      </c>
      <c r="E24" s="68" t="n">
        <f aca="false">15742.65*(1-TFK!D1)</f>
        <v>9445.59</v>
      </c>
      <c r="F24" s="68" t="n">
        <f aca="false">18003.5625*(1-TFK!D1)</f>
        <v>10802.1375</v>
      </c>
    </row>
    <row r="25" customFormat="false" ht="13.8" hidden="false" customHeight="false" outlineLevel="0" collapsed="false">
      <c r="A25" s="66" t="s">
        <v>32</v>
      </c>
      <c r="B25" s="66"/>
      <c r="C25" s="68" t="n">
        <f aca="false">17620.7625*(1-TFK!D1)</f>
        <v>10572.4575</v>
      </c>
      <c r="D25" s="68" t="n">
        <f aca="false">20372.1375*(1-TFK!D1)</f>
        <v>12223.2825</v>
      </c>
      <c r="E25" s="68" t="n">
        <f aca="false">19451.025*(1-TFK!D1)</f>
        <v>11670.615</v>
      </c>
      <c r="F25" s="68" t="n">
        <f aca="false">22238.2875*(1-TFK!D1)</f>
        <v>13342.9725</v>
      </c>
    </row>
    <row r="26" customFormat="false" ht="13.8" hidden="false" customHeight="false" outlineLevel="0" collapsed="false">
      <c r="A26" s="66" t="s">
        <v>33</v>
      </c>
      <c r="B26" s="66"/>
      <c r="C26" s="68" t="n">
        <f aca="false">19576.63125*(1-TFK!D1)</f>
        <v>11745.97875</v>
      </c>
      <c r="D26" s="68" t="n">
        <f aca="false">22639.03125*(1-TFK!D1)</f>
        <v>13583.41875</v>
      </c>
      <c r="E26" s="68" t="n">
        <f aca="false">21616.2375*(1-TFK!D1)</f>
        <v>12969.7425</v>
      </c>
      <c r="F26" s="68" t="n">
        <f aca="false">24708.54375*(1-TFK!D1)</f>
        <v>14825.12625</v>
      </c>
    </row>
    <row r="27" customFormat="false" ht="13.8" hidden="false" customHeight="false" outlineLevel="0" collapsed="false">
      <c r="A27" s="66" t="s">
        <v>34</v>
      </c>
      <c r="B27" s="66"/>
      <c r="C27" s="69" t="n">
        <f aca="false">21747.825*(1-TFK!D1)</f>
        <v>13048.695</v>
      </c>
      <c r="D27" s="69" t="n">
        <f aca="false">25151.15625*(1-TFK!D1)</f>
        <v>15090.69375</v>
      </c>
      <c r="E27" s="69" t="n">
        <f aca="false">24008.7375*(1-TFK!D1)</f>
        <v>14405.2425</v>
      </c>
      <c r="F27" s="69" t="n">
        <f aca="false">27453.9375*(1-TFK!D1)</f>
        <v>16472.3625</v>
      </c>
    </row>
    <row r="28" customFormat="false" ht="13.8" hidden="false" customHeight="false" outlineLevel="0" collapsed="false">
      <c r="A28" s="66" t="s">
        <v>35</v>
      </c>
      <c r="B28" s="66"/>
      <c r="C28" s="68" t="n">
        <f aca="false">24792.28125*(1-TFK!D1)</f>
        <v>14875.36875</v>
      </c>
      <c r="D28" s="68" t="n">
        <f aca="false">28674.1125*(1-TFK!D1)</f>
        <v>17204.4675</v>
      </c>
      <c r="E28" s="68" t="n">
        <f aca="false">27370.2*(1-TFK!D1)</f>
        <v>16422.12</v>
      </c>
      <c r="F28" s="68" t="n">
        <f aca="false">31299.88125*(1-TFK!D1)</f>
        <v>18779.92875</v>
      </c>
    </row>
  </sheetData>
  <mergeCells count="26">
    <mergeCell ref="A3:B3"/>
    <mergeCell ref="A4:B4"/>
    <mergeCell ref="C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8:B18"/>
    <mergeCell ref="A19:B19"/>
    <mergeCell ref="C19:F19"/>
    <mergeCell ref="A20:B20"/>
    <mergeCell ref="A21:B21"/>
    <mergeCell ref="C21:D21"/>
    <mergeCell ref="E21:F21"/>
    <mergeCell ref="A22:B22"/>
    <mergeCell ref="A23:B23"/>
    <mergeCell ref="A24:B24"/>
    <mergeCell ref="A25:B25"/>
    <mergeCell ref="A26:B26"/>
    <mergeCell ref="A27:B27"/>
    <mergeCell ref="A28:B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00"/>
    <pageSetUpPr fitToPage="false"/>
  </sheetPr>
  <dimension ref="A1:G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7" activeCellId="0" sqref="G7"/>
    </sheetView>
  </sheetViews>
  <sheetFormatPr defaultColWidth="9.00390625" defaultRowHeight="12.8" zeroHeight="false" outlineLevelRow="0" outlineLevelCol="0"/>
  <cols>
    <col collapsed="false" customWidth="true" hidden="false" outlineLevel="0" max="1" min="1" style="0" width="15.53"/>
    <col collapsed="false" customWidth="true" hidden="false" outlineLevel="0" max="4" min="2" style="0" width="16.24"/>
    <col collapsed="false" customWidth="true" hidden="false" outlineLevel="0" max="5" min="5" style="0" width="19.49"/>
    <col collapsed="false" customWidth="true" hidden="false" outlineLevel="0" max="6" min="6" style="0" width="18.89"/>
    <col collapsed="false" customWidth="true" hidden="false" outlineLevel="0" max="7" min="7" style="0" width="18.53"/>
  </cols>
  <sheetData>
    <row r="1" customFormat="false" ht="32.1" hidden="false" customHeight="true" outlineLevel="0" collapsed="false">
      <c r="A1" s="70" t="s">
        <v>2</v>
      </c>
      <c r="B1" s="70" t="s">
        <v>175</v>
      </c>
      <c r="C1" s="70" t="s">
        <v>176</v>
      </c>
      <c r="D1" s="70" t="s">
        <v>177</v>
      </c>
      <c r="E1" s="70" t="s">
        <v>178</v>
      </c>
      <c r="F1" s="70" t="s">
        <v>179</v>
      </c>
      <c r="G1" s="70" t="s">
        <v>180</v>
      </c>
    </row>
    <row r="2" customFormat="false" ht="66.9" hidden="false" customHeight="true" outlineLevel="0" collapsed="false">
      <c r="A2" s="70" t="s">
        <v>11</v>
      </c>
      <c r="B2" s="71" t="s">
        <v>181</v>
      </c>
      <c r="C2" s="71" t="s">
        <v>181</v>
      </c>
      <c r="D2" s="71" t="s">
        <v>181</v>
      </c>
      <c r="E2" s="71" t="s">
        <v>181</v>
      </c>
      <c r="F2" s="71" t="s">
        <v>181</v>
      </c>
      <c r="G2" s="71" t="s">
        <v>181</v>
      </c>
    </row>
    <row r="3" customFormat="false" ht="87.65" hidden="false" customHeight="true" outlineLevel="0" collapsed="false">
      <c r="A3" s="70" t="s">
        <v>82</v>
      </c>
      <c r="B3" s="72" t="s">
        <v>182</v>
      </c>
      <c r="C3" s="72" t="s">
        <v>183</v>
      </c>
      <c r="D3" s="72" t="s">
        <v>184</v>
      </c>
      <c r="E3" s="72" t="s">
        <v>185</v>
      </c>
      <c r="F3" s="72" t="s">
        <v>186</v>
      </c>
      <c r="G3" s="72" t="s">
        <v>187</v>
      </c>
    </row>
    <row r="4" customFormat="false" ht="15.8" hidden="false" customHeight="true" outlineLevel="0" collapsed="false">
      <c r="A4" s="70"/>
      <c r="B4" s="71" t="s">
        <v>188</v>
      </c>
      <c r="C4" s="71"/>
      <c r="D4" s="71"/>
      <c r="E4" s="71"/>
      <c r="F4" s="71" t="s">
        <v>189</v>
      </c>
      <c r="G4" s="71"/>
    </row>
    <row r="5" customFormat="false" ht="13.8" hidden="false" customHeight="false" outlineLevel="0" collapsed="false">
      <c r="A5" s="73" t="s">
        <v>25</v>
      </c>
      <c r="B5" s="74" t="s">
        <v>190</v>
      </c>
      <c r="C5" s="74" t="s">
        <v>190</v>
      </c>
      <c r="D5" s="74" t="s">
        <v>190</v>
      </c>
      <c r="E5" s="74" t="s">
        <v>190</v>
      </c>
      <c r="F5" s="74" t="s">
        <v>190</v>
      </c>
      <c r="G5" s="74" t="s">
        <v>190</v>
      </c>
    </row>
    <row r="6" customFormat="false" ht="13.8" hidden="false" customHeight="false" outlineLevel="0" collapsed="false">
      <c r="A6" s="75" t="s">
        <v>191</v>
      </c>
      <c r="B6" s="76" t="n">
        <f aca="false">45995.8125*(1-TFK!D1)</f>
        <v>27597.4875</v>
      </c>
      <c r="C6" s="76" t="n">
        <f aca="false">53484.3375*(1-TFK!D1)</f>
        <v>32090.6025</v>
      </c>
      <c r="D6" s="76" t="n">
        <f aca="false">51091.8375*(1-TFK!D1)</f>
        <v>30655.1025</v>
      </c>
      <c r="E6" s="76" t="n">
        <f aca="false">58137.75*(1-TFK!D1)</f>
        <v>34882.65</v>
      </c>
      <c r="F6" s="77" t="n">
        <f aca="false">48531.384*(1-TFK!D1)</f>
        <v>29118.8304</v>
      </c>
      <c r="G6" s="77" t="n">
        <f aca="false">50231.016*(1-TFK!D1)</f>
        <v>30138.6096</v>
      </c>
    </row>
    <row r="7" customFormat="false" ht="13.8" hidden="false" customHeight="false" outlineLevel="0" collapsed="false">
      <c r="A7" s="75" t="s">
        <v>192</v>
      </c>
      <c r="B7" s="76" t="n">
        <f aca="false">52264.1625*(1-TFK!D1)</f>
        <v>31358.4975</v>
      </c>
      <c r="C7" s="76" t="n">
        <f aca="false">60769.5*(1-TFK!D1)</f>
        <v>36461.7</v>
      </c>
      <c r="D7" s="76" t="n">
        <f aca="false">58054.0125*(1-TFK!D1)</f>
        <v>34832.4075</v>
      </c>
      <c r="E7" s="76" t="n">
        <f aca="false">66056.925*(1-TFK!D1)</f>
        <v>39634.155</v>
      </c>
      <c r="F7" s="77" t="n">
        <f aca="false">55146.168*(1-TFK!D1)</f>
        <v>33087.7008</v>
      </c>
      <c r="G7" s="77" t="n">
        <f aca="false">57052.512*(1-TFK!D1)</f>
        <v>34231.5072</v>
      </c>
    </row>
    <row r="8" customFormat="false" ht="13.8" hidden="false" customHeight="false" outlineLevel="0" collapsed="false">
      <c r="A8" s="75" t="s">
        <v>193</v>
      </c>
      <c r="B8" s="76" t="n">
        <f aca="false">65303.2875*(1-TFK!D1)</f>
        <v>39181.9725</v>
      </c>
      <c r="C8" s="76" t="n">
        <f aca="false">75961.875*(1-TFK!D1)</f>
        <v>45577.125</v>
      </c>
      <c r="D8" s="76" t="n">
        <f aca="false">72588.45*(1-TFK!D1)</f>
        <v>43553.07</v>
      </c>
      <c r="E8" s="76" t="n">
        <f aca="false">82553.2125*(1-TFK!D1)</f>
        <v>49531.9275</v>
      </c>
      <c r="F8" s="77" t="n">
        <f aca="false">68938.452*(1-TFK!D1)</f>
        <v>41363.0712</v>
      </c>
      <c r="G8" s="77" t="n">
        <f aca="false">71338.608*(1-TFK!D1)</f>
        <v>42803.1648</v>
      </c>
    </row>
    <row r="9" customFormat="false" ht="13.8" hidden="false" customHeight="false" outlineLevel="0" collapsed="false">
      <c r="A9" s="75" t="s">
        <v>194</v>
      </c>
      <c r="B9" s="76" t="n">
        <f aca="false">68581.0125*(1-TFK!D1)</f>
        <v>41148.6075</v>
      </c>
      <c r="C9" s="76" t="n">
        <f aca="false">79753.9875*(1-TFK!D1)</f>
        <v>47852.3925</v>
      </c>
      <c r="D9" s="76" t="n">
        <f aca="false">76201.125*(1-TFK!D1)</f>
        <v>45720.675</v>
      </c>
      <c r="E9" s="76" t="n">
        <f aca="false">86692.2375*(1-TFK!D1)</f>
        <v>52015.3425</v>
      </c>
      <c r="F9" s="77" t="n">
        <f aca="false">72395.136*(1-TFK!D1)</f>
        <v>43437.0816</v>
      </c>
      <c r="G9" s="77" t="n">
        <f aca="false">74910.132*(1-TFK!D1)</f>
        <v>44946.0792</v>
      </c>
    </row>
    <row r="10" customFormat="false" ht="13.8" hidden="false" customHeight="false" outlineLevel="0" collapsed="false">
      <c r="A10" s="75" t="s">
        <v>195</v>
      </c>
      <c r="B10" s="76" t="n">
        <f aca="false">68581.0125*(1-TFK!D1)</f>
        <v>41148.6075</v>
      </c>
      <c r="C10" s="76" t="n">
        <f aca="false">79753.9875*(1-TFK!D1)</f>
        <v>47852.3925</v>
      </c>
      <c r="D10" s="76" t="n">
        <f aca="false">76201.125*(1-TFK!D1)</f>
        <v>45720.675</v>
      </c>
      <c r="E10" s="76" t="n">
        <f aca="false">86692.2375*(1-TFK!D1)</f>
        <v>52015.3425</v>
      </c>
      <c r="F10" s="77" t="n">
        <f aca="false">72395.136*(1-TFK!D1)</f>
        <v>43437.0816</v>
      </c>
      <c r="G10" s="77" t="n">
        <f aca="false">74910.132*(1-TFK!D1)</f>
        <v>44946.0792</v>
      </c>
    </row>
    <row r="11" customFormat="false" ht="13.8" hidden="false" customHeight="false" outlineLevel="0" collapsed="false">
      <c r="A11" s="75" t="s">
        <v>196</v>
      </c>
      <c r="B11" s="76" t="n">
        <f aca="false">68581.0125*(1-TFK!D1)</f>
        <v>41148.6075</v>
      </c>
      <c r="C11" s="76" t="n">
        <f aca="false">79753.9875*(1-TFK!D1)</f>
        <v>47852.3925</v>
      </c>
      <c r="D11" s="76" t="n">
        <f aca="false">76201.125*(1-TFK!D1)</f>
        <v>45720.675</v>
      </c>
      <c r="E11" s="76" t="n">
        <f aca="false">86692.2375*(1-TFK!D1)</f>
        <v>52015.3425</v>
      </c>
      <c r="F11" s="77" t="n">
        <f aca="false">72395.136*(1-TFK!D1)</f>
        <v>43437.0816</v>
      </c>
      <c r="G11" s="77" t="n">
        <f aca="false">74910.132*(1-TFK!D1)</f>
        <v>44946.0792</v>
      </c>
    </row>
    <row r="12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</sheetData>
  <mergeCells count="2">
    <mergeCell ref="B4:E4"/>
    <mergeCell ref="F4:G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1018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2020-12-17T13:20:25Z</dcterms:created>
  <dc:creator>Unknown</dc:creator>
  <dc:description/>
  <dc:language>ru-RU</dc:language>
  <cp:lastModifiedBy/>
  <cp:lastPrinted>2022-08-08T10:26:52Z</cp:lastPrinted>
  <dcterms:modified xsi:type="dcterms:W3CDTF">2023-05-31T13:11:42Z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